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9\"/>
    </mc:Choice>
  </mc:AlternateContent>
  <xr:revisionPtr revIDLastSave="0" documentId="13_ncr:1_{43FCE969-1ED0-4809-8034-4CA047F305D4}" xr6:coauthVersionLast="47" xr6:coauthVersionMax="47" xr10:uidLastSave="{00000000-0000-0000-0000-000000000000}"/>
  <bookViews>
    <workbookView xWindow="-108" yWindow="-108" windowWidth="23256" windowHeight="12576" firstSheet="24" activeTab="27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EJERCICIO ACUMULATIVO 3" sheetId="27" r:id="rId27"/>
    <sheet name="EJERCICIOS DE REPASO 03-08 NOV" sheetId="28" r:id="rId28"/>
    <sheet name="Practica" sheetId="29" r:id="rId29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33" i="24" l="1"/>
  <c r="E8" i="23"/>
  <c r="F37" i="29" l="1"/>
  <c r="F38" i="29"/>
  <c r="F40" i="29" s="1"/>
  <c r="F46" i="29"/>
  <c r="F45" i="29"/>
  <c r="F48" i="29" s="1"/>
  <c r="G930" i="28"/>
  <c r="G929" i="28"/>
  <c r="G932" i="28"/>
  <c r="G878" i="28"/>
  <c r="G880" i="28" s="1"/>
  <c r="G877" i="28"/>
  <c r="G40" i="29" l="1"/>
  <c r="F920" i="28" l="1"/>
  <c r="G922" i="28" s="1"/>
  <c r="F919" i="28"/>
  <c r="F870" i="28"/>
  <c r="F869" i="28"/>
  <c r="G872" i="28"/>
  <c r="F922" i="28" l="1"/>
  <c r="F872" i="28"/>
  <c r="F819" i="28" l="1"/>
  <c r="S874" i="28"/>
  <c r="S877" i="28" s="1"/>
  <c r="S875" i="28"/>
  <c r="F827" i="28"/>
  <c r="F830" i="28" s="1"/>
  <c r="T865" i="28"/>
  <c r="U868" i="28" s="1"/>
  <c r="F828" i="28"/>
  <c r="F822" i="28"/>
  <c r="F769" i="28"/>
  <c r="F768" i="28"/>
  <c r="F766" i="28"/>
  <c r="F767" i="28"/>
  <c r="E725" i="28"/>
  <c r="F727" i="28" s="1"/>
  <c r="F731" i="28" s="1"/>
  <c r="E661" i="28"/>
  <c r="F663" i="28" s="1"/>
  <c r="F667" i="28" s="1"/>
  <c r="E585" i="28"/>
  <c r="F587" i="28" s="1"/>
  <c r="F591" i="28" s="1"/>
  <c r="G528" i="28"/>
  <c r="F528" i="28"/>
  <c r="E528" i="28"/>
  <c r="G476" i="28"/>
  <c r="F476" i="28"/>
  <c r="E476" i="28"/>
  <c r="F427" i="28"/>
  <c r="E427" i="28"/>
  <c r="D427" i="28"/>
  <c r="D227" i="28"/>
  <c r="H216" i="28"/>
  <c r="H385" i="28"/>
  <c r="H384" i="28"/>
  <c r="H387" i="28" s="1"/>
  <c r="D385" i="28"/>
  <c r="D384" i="28"/>
  <c r="D387" i="28" s="1"/>
  <c r="H376" i="28"/>
  <c r="H378" i="28"/>
  <c r="H375" i="28"/>
  <c r="D376" i="28"/>
  <c r="D375" i="28"/>
  <c r="H338" i="28"/>
  <c r="H337" i="28"/>
  <c r="H340" i="28" s="1"/>
  <c r="D338" i="28"/>
  <c r="D340" i="28" s="1"/>
  <c r="D337" i="28"/>
  <c r="H329" i="28"/>
  <c r="H328" i="28"/>
  <c r="D329" i="28"/>
  <c r="D328" i="28"/>
  <c r="D331" i="28" s="1"/>
  <c r="H286" i="28"/>
  <c r="H285" i="28"/>
  <c r="H288" i="28" s="1"/>
  <c r="H277" i="28"/>
  <c r="D288" i="28"/>
  <c r="D286" i="28"/>
  <c r="D285" i="28"/>
  <c r="H276" i="28"/>
  <c r="H279" i="28" s="1"/>
  <c r="D277" i="28"/>
  <c r="D216" i="28"/>
  <c r="D276" i="28"/>
  <c r="H225" i="28"/>
  <c r="H227" i="28"/>
  <c r="H224" i="28"/>
  <c r="D225" i="28"/>
  <c r="D224" i="28"/>
  <c r="H215" i="28"/>
  <c r="D215" i="28"/>
  <c r="D218" i="28" s="1"/>
  <c r="G180" i="28"/>
  <c r="F180" i="28"/>
  <c r="E180" i="28"/>
  <c r="D180" i="28"/>
  <c r="G136" i="28"/>
  <c r="F136" i="28"/>
  <c r="E136" i="28"/>
  <c r="D136" i="28"/>
  <c r="G68" i="28"/>
  <c r="F68" i="28"/>
  <c r="E68" i="28"/>
  <c r="D68" i="28"/>
  <c r="F29" i="28"/>
  <c r="F33" i="28" s="1"/>
  <c r="F64" i="28"/>
  <c r="G176" i="28"/>
  <c r="F176" i="28"/>
  <c r="E176" i="28"/>
  <c r="G132" i="28"/>
  <c r="F132" i="28"/>
  <c r="E132" i="28"/>
  <c r="D96" i="28"/>
  <c r="E99" i="28"/>
  <c r="G64" i="28"/>
  <c r="E64" i="28"/>
  <c r="G29" i="28"/>
  <c r="G33" i="28" s="1"/>
  <c r="E33" i="28"/>
  <c r="D33" i="28"/>
  <c r="E66" i="24"/>
  <c r="E29" i="28"/>
  <c r="C7" i="27"/>
  <c r="D19" i="27"/>
  <c r="D16" i="27"/>
  <c r="D17" i="27" s="1"/>
  <c r="C8" i="27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8" i="27"/>
  <c r="T868" i="28" l="1"/>
  <c r="G822" i="28"/>
  <c r="F771" i="28"/>
  <c r="G771" i="28"/>
  <c r="F531" i="28"/>
  <c r="F533" i="28" s="1"/>
  <c r="F479" i="28"/>
  <c r="F481" i="28" s="1"/>
  <c r="E430" i="28"/>
  <c r="E432" i="28" s="1"/>
  <c r="D378" i="28"/>
  <c r="H331" i="28"/>
  <c r="D279" i="28"/>
  <c r="H218" i="28"/>
  <c r="D99" i="28"/>
  <c r="D46" i="27"/>
  <c r="D48" i="27" s="1"/>
  <c r="E36" i="27"/>
  <c r="E21" i="27"/>
  <c r="D21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F66" i="24"/>
  <c r="F62" i="24"/>
  <c r="F29" i="24"/>
  <c r="G4" i="23"/>
  <c r="G8" i="23" s="1"/>
  <c r="H8" i="23"/>
  <c r="F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<sst xmlns="http://schemas.openxmlformats.org/spreadsheetml/2006/main" count="798" uniqueCount="148">
  <si>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</si>
  <si>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</si>
  <si>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</si>
  <si>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</si>
  <si>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</si>
  <si>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</si>
  <si>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</si>
  <si>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</si>
  <si>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</si>
  <si>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</si>
  <si>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</si>
  <si>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</si>
  <si>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</si>
  <si>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</si>
  <si>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</si>
  <si>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</si>
  <si>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</si>
  <si>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</si>
  <si>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</si>
  <si>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</si>
  <si>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</si>
  <si>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</si>
  <si>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</si>
  <si>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</si>
  <si>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</si>
  <si>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</si>
  <si>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</si>
  <si>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</si>
  <si>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</si>
  <si>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</si>
  <si>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</si>
  <si>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</si>
  <si>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</si>
  <si>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</si>
  <si>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</si>
  <si>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</si>
  <si>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</si>
  <si>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</si>
  <si>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</si>
  <si>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</si>
  <si>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</si>
  <si>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</si>
  <si>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</si>
  <si>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</si>
  <si>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</si>
  <si>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</si>
  <si>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</si>
  <si>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</si>
  <si>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</si>
  <si>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</si>
  <si>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</si>
  <si>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</si>
  <si>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</si>
  <si>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</si>
  <si>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</si>
  <si>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</si>
  <si>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</si>
  <si>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</si>
  <si>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</si>
  <si>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</si>
  <si>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</si>
  <si>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</si>
  <si>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</si>
  <si>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</si>
  <si>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</si>
  <si>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</si>
  <si>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</si>
  <si>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</si>
  <si>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</si>
  <si>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</si>
  <si>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</si>
  <si>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</si>
  <si>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</si>
  <si>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</si>
  <si>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</si>
  <si>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</si>
  <si>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</si>
  <si>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</si>
  <si>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</si>
  <si>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</si>
  <si>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</si>
  <si>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</si>
  <si>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</si>
  <si>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</si>
  <si>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</si>
  <si>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</si>
  <si>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</si>
  <si>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</si>
  <si>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</si>
  <si>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</si>
  <si>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</si>
  <si>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</si>
  <si>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</si>
  <si>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</si>
  <si>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</si>
  <si>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</si>
  <si>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</si>
  <si>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</si>
  <si>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</si>
  <si>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</si>
  <si>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</si>
  <si>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</si>
  <si>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</si>
  <si>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</si>
  <si>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</si>
  <si>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</si>
  <si>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</si>
  <si>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</si>
  <si>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</si>
  <si>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</si>
  <si>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</si>
  <si>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</si>
  <si>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</si>
  <si>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</si>
  <si>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</si>
  <si>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</si>
  <si>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</si>
  <si>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</si>
  <si>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</si>
  <si>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</si>
  <si>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</si>
  <si>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</si>
  <si>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</si>
  <si>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</si>
  <si>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</si>
  <si>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</si>
  <si>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</si>
  <si>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</si>
  <si>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</si>
  <si>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</si>
  <si>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</si>
  <si>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</si>
  <si>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</si>
  <si>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</si>
  <si>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</si>
  <si>
    <t>cuatrimestre</t>
  </si>
  <si>
    <t>trimestralmente</t>
  </si>
  <si>
    <t>semestralmente</t>
  </si>
  <si>
    <t>bimestralmente</t>
  </si>
  <si>
    <t>Mensualmente</t>
  </si>
  <si>
    <t xml:space="preserve">            </t>
  </si>
  <si>
    <t>EJERCICIO A</t>
  </si>
  <si>
    <t>EJERCICIO B</t>
  </si>
  <si>
    <t>EJERCICIO C</t>
  </si>
  <si>
    <t>EJERCICIO D</t>
  </si>
  <si>
    <t>Valor de la inversion</t>
  </si>
  <si>
    <t>Es conveniente hacer la inversion</t>
  </si>
  <si>
    <t>Meses En UN ANIO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</si>
</sst>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theme="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43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9" fontId="0" fillId="0" borderId="24" xfId="1" applyFont="1" applyBorder="1"/>
    <xf numFmtId="0" fontId="0" fillId="6" borderId="5" xfId="0" applyFill="1" applyBorder="1"/>
    <xf numFmtId="0" fontId="0" fillId="6" borderId="67" xfId="0" applyFill="1" applyBorder="1"/>
    <xf numFmtId="0" fontId="0" fillId="6" borderId="68" xfId="0" applyFill="1" applyBorder="1"/>
    <xf numFmtId="0" fontId="0" fillId="4" borderId="68" xfId="0" applyFill="1" applyBorder="1"/>
    <xf numFmtId="0" fontId="0" fillId="4" borderId="5" xfId="0" applyFill="1" applyBorder="1"/>
    <xf numFmtId="0" fontId="0" fillId="4" borderId="67" xfId="0" applyFill="1" applyBorder="1"/>
    <xf numFmtId="0" fontId="0" fillId="8" borderId="5" xfId="0" applyFill="1" applyBorder="1"/>
    <xf numFmtId="0" fontId="0" fillId="8" borderId="67" xfId="0" applyFill="1" applyBorder="1"/>
    <xf numFmtId="0" fontId="0" fillId="8" borderId="68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87" xfId="0" applyFill="1" applyBorder="1"/>
    <xf numFmtId="0" fontId="0" fillId="13" borderId="86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87" xfId="0" applyFill="1" applyBorder="1"/>
    <xf numFmtId="0" fontId="0" fillId="14" borderId="86" xfId="0" applyFill="1" applyBorder="1"/>
    <xf numFmtId="0" fontId="0" fillId="4" borderId="76" xfId="0" applyFill="1" applyBorder="1"/>
    <xf numFmtId="0" fontId="0" fillId="4" borderId="75" xfId="0" applyFill="1" applyBorder="1"/>
    <xf numFmtId="0" fontId="0" fillId="4" borderId="9" xfId="0" applyFill="1" applyBorder="1"/>
    <xf numFmtId="0" fontId="0" fillId="4" borderId="41" xfId="0" applyFill="1" applyBorder="1"/>
    <xf numFmtId="0" fontId="0" fillId="4" borderId="78" xfId="0" applyFill="1" applyBorder="1"/>
    <xf numFmtId="0" fontId="0" fillId="4" borderId="21" xfId="0" applyFill="1" applyBorder="1"/>
    <xf numFmtId="164" fontId="0" fillId="0" borderId="90" xfId="0" applyNumberFormat="1" applyBorder="1"/>
    <xf numFmtId="10" fontId="0" fillId="0" borderId="5" xfId="1" applyNumberFormat="1" applyFont="1" applyBorder="1"/>
    <xf numFmtId="10" fontId="0" fillId="0" borderId="24" xfId="1" applyNumberFormat="1" applyFont="1" applyBorder="1"/>
    <xf numFmtId="0" fontId="0" fillId="4" borderId="0" xfId="0" applyFill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788671</xdr:colOff>
      <xdr:row>0</xdr:row>
      <xdr:rowOff>0</xdr:rowOff>
    </xdr:from>
    <xdr:to>
      <xdr:col>6</xdr:col>
      <xdr:colOff>998221</xdr:colOff>
      <xdr:row>23</xdr:row>
      <xdr:rowOff>163830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86A4CED-31E2-B83B-0494-3547466D35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15" t="18317" r="12908" b="10907"/>
        <a:stretch/>
      </xdr:blipFill>
      <xdr:spPr>
        <a:xfrm>
          <a:off x="788671" y="0"/>
          <a:ext cx="7936230" cy="43700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5" name="AutoShape 3">
          <a:extLst>
            <a:ext uri="{FF2B5EF4-FFF2-40B4-BE49-F238E27FC236}">
              <a16:creationId xmlns:a16="http://schemas.microsoft.com/office/drawing/2014/main" id="{FCC1F27C-7302-449F-F3EE-EDD124A91DA2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6" name="AutoShape 4">
          <a:extLst>
            <a:ext uri="{FF2B5EF4-FFF2-40B4-BE49-F238E27FC236}">
              <a16:creationId xmlns:a16="http://schemas.microsoft.com/office/drawing/2014/main" id="{203F5311-E6AD-D9CC-37DA-C880AEFC52A7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7" name="AutoShape 5">
          <a:extLst>
            <a:ext uri="{FF2B5EF4-FFF2-40B4-BE49-F238E27FC236}">
              <a16:creationId xmlns:a16="http://schemas.microsoft.com/office/drawing/2014/main" id="{903D089B-AB5A-5E68-9FF9-B42E22EE8163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60960</xdr:rowOff>
    </xdr:from>
    <xdr:to>
      <xdr:col>6</xdr:col>
      <xdr:colOff>945271</xdr:colOff>
      <xdr:row>59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36B93E2-B286-D274-4E43-DE5749AE2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003" t="22818" r="19823" b="19397"/>
        <a:stretch/>
      </xdr:blipFill>
      <xdr:spPr>
        <a:xfrm>
          <a:off x="792480" y="6461760"/>
          <a:ext cx="7879471" cy="43281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68</xdr:row>
      <xdr:rowOff>160712</xdr:rowOff>
    </xdr:from>
    <xdr:to>
      <xdr:col>6</xdr:col>
      <xdr:colOff>777240</xdr:colOff>
      <xdr:row>91</xdr:row>
      <xdr:rowOff>93505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5516A2F-936C-6AD4-F8C8-A837E6025D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020" t="24190" r="18756" b="17454"/>
        <a:stretch/>
      </xdr:blipFill>
      <xdr:spPr>
        <a:xfrm>
          <a:off x="762000" y="12408130"/>
          <a:ext cx="7739149" cy="4075302"/>
        </a:xfrm>
        <a:prstGeom prst="rect">
          <a:avLst/>
        </a:prstGeom>
      </xdr:spPr>
    </xdr:pic>
    <xdr:clientData/>
  </xdr:twoCellAnchor>
  <xdr:twoCellAnchor editAs="oneCell">
    <xdr:from>
      <xdr:col>1</xdr:col>
      <xdr:colOff>30479</xdr:colOff>
      <xdr:row>101</xdr:row>
      <xdr:rowOff>30479</xdr:rowOff>
    </xdr:from>
    <xdr:to>
      <xdr:col>6</xdr:col>
      <xdr:colOff>929640</xdr:colOff>
      <xdr:row>126</xdr:row>
      <xdr:rowOff>158496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6853C8B-493F-C715-2574-F3BB3AF67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7059" t="38644" r="37183" b="34333"/>
        <a:stretch/>
      </xdr:blipFill>
      <xdr:spPr>
        <a:xfrm>
          <a:off x="822959" y="18501359"/>
          <a:ext cx="7833361" cy="4700017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143</xdr:row>
      <xdr:rowOff>60960</xdr:rowOff>
    </xdr:from>
    <xdr:to>
      <xdr:col>6</xdr:col>
      <xdr:colOff>1143000</xdr:colOff>
      <xdr:row>169</xdr:row>
      <xdr:rowOff>147930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8E8578-DC68-2C79-6B5F-D4A62E19AF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7505" t="34967" r="37492" b="37770"/>
        <a:stretch/>
      </xdr:blipFill>
      <xdr:spPr>
        <a:xfrm>
          <a:off x="975360" y="26212800"/>
          <a:ext cx="7894320" cy="4841850"/>
        </a:xfrm>
        <a:prstGeom prst="rect">
          <a:avLst/>
        </a:prstGeom>
      </xdr:spPr>
    </xdr:pic>
    <xdr:clientData/>
  </xdr:twoCellAnchor>
  <xdr:twoCellAnchor editAs="oneCell">
    <xdr:from>
      <xdr:col>0</xdr:col>
      <xdr:colOff>731521</xdr:colOff>
      <xdr:row>182</xdr:row>
      <xdr:rowOff>91439</xdr:rowOff>
    </xdr:from>
    <xdr:to>
      <xdr:col>6</xdr:col>
      <xdr:colOff>1844238</xdr:colOff>
      <xdr:row>210</xdr:row>
      <xdr:rowOff>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39AC230-BCEE-9EBB-D396-668AFBA917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30509" r="51807" b="21549"/>
        <a:stretch/>
      </xdr:blipFill>
      <xdr:spPr>
        <a:xfrm>
          <a:off x="731521" y="33375599"/>
          <a:ext cx="8839199" cy="5029201"/>
        </a:xfrm>
        <a:prstGeom prst="rect">
          <a:avLst/>
        </a:prstGeom>
      </xdr:spPr>
    </xdr:pic>
    <xdr:clientData/>
  </xdr:twoCellAnchor>
  <xdr:twoCellAnchor editAs="oneCell">
    <xdr:from>
      <xdr:col>0</xdr:col>
      <xdr:colOff>274321</xdr:colOff>
      <xdr:row>242</xdr:row>
      <xdr:rowOff>91440</xdr:rowOff>
    </xdr:from>
    <xdr:to>
      <xdr:col>6</xdr:col>
      <xdr:colOff>1722318</xdr:colOff>
      <xdr:row>269</xdr:row>
      <xdr:rowOff>121920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67DADD7-9501-74E9-C7A0-7ADD16953D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-1334" t="30523" r="51161" b="21175"/>
        <a:stretch/>
      </xdr:blipFill>
      <xdr:spPr>
        <a:xfrm>
          <a:off x="274321" y="44348400"/>
          <a:ext cx="9174479" cy="4968240"/>
        </a:xfrm>
        <a:prstGeom prst="rect">
          <a:avLst/>
        </a:prstGeom>
      </xdr:spPr>
    </xdr:pic>
    <xdr:clientData/>
  </xdr:twoCellAnchor>
  <xdr:twoCellAnchor editAs="oneCell">
    <xdr:from>
      <xdr:col>0</xdr:col>
      <xdr:colOff>701041</xdr:colOff>
      <xdr:row>295</xdr:row>
      <xdr:rowOff>30480</xdr:rowOff>
    </xdr:from>
    <xdr:to>
      <xdr:col>6</xdr:col>
      <xdr:colOff>1935678</xdr:colOff>
      <xdr:row>322</xdr:row>
      <xdr:rowOff>30480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7696AE1-DA7E-E301-7FB9-7E98D68BE8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30522" r="50993" b="21473"/>
        <a:stretch/>
      </xdr:blipFill>
      <xdr:spPr>
        <a:xfrm>
          <a:off x="701041" y="53980080"/>
          <a:ext cx="8961119" cy="4937760"/>
        </a:xfrm>
        <a:prstGeom prst="rect">
          <a:avLst/>
        </a:prstGeom>
      </xdr:spPr>
    </xdr:pic>
    <xdr:clientData/>
  </xdr:twoCellAnchor>
  <xdr:twoCellAnchor editAs="oneCell">
    <xdr:from>
      <xdr:col>0</xdr:col>
      <xdr:colOff>775064</xdr:colOff>
      <xdr:row>343</xdr:row>
      <xdr:rowOff>150223</xdr:rowOff>
    </xdr:from>
    <xdr:to>
      <xdr:col>6</xdr:col>
      <xdr:colOff>1826821</xdr:colOff>
      <xdr:row>369</xdr:row>
      <xdr:rowOff>150222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826F5274-91B8-356A-F7BD-2332A1D72A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31412" r="51994" b="22360"/>
        <a:stretch/>
      </xdr:blipFill>
      <xdr:spPr>
        <a:xfrm>
          <a:off x="775064" y="63624823"/>
          <a:ext cx="8793479" cy="4811485"/>
        </a:xfrm>
        <a:prstGeom prst="rect">
          <a:avLst/>
        </a:prstGeom>
      </xdr:spPr>
    </xdr:pic>
    <xdr:clientData/>
  </xdr:twoCellAnchor>
  <xdr:twoCellAnchor editAs="oneCell">
    <xdr:from>
      <xdr:col>0</xdr:col>
      <xdr:colOff>778137</xdr:colOff>
      <xdr:row>391</xdr:row>
      <xdr:rowOff>161365</xdr:rowOff>
    </xdr:from>
    <xdr:to>
      <xdr:col>6</xdr:col>
      <xdr:colOff>2049017</xdr:colOff>
      <xdr:row>418</xdr:row>
      <xdr:rowOff>12551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068C894-7967-8856-5541-9F21DC70CB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30882" r="50721" b="22046"/>
        <a:stretch/>
      </xdr:blipFill>
      <xdr:spPr>
        <a:xfrm>
          <a:off x="778137" y="70265365"/>
          <a:ext cx="8975463" cy="4692127"/>
        </a:xfrm>
        <a:prstGeom prst="rect">
          <a:avLst/>
        </a:prstGeom>
      </xdr:spPr>
    </xdr:pic>
    <xdr:clientData/>
  </xdr:twoCellAnchor>
  <xdr:twoCellAnchor editAs="oneCell">
    <xdr:from>
      <xdr:col>2</xdr:col>
      <xdr:colOff>27710</xdr:colOff>
      <xdr:row>435</xdr:row>
      <xdr:rowOff>110836</xdr:rowOff>
    </xdr:from>
    <xdr:to>
      <xdr:col>8</xdr:col>
      <xdr:colOff>775855</xdr:colOff>
      <xdr:row>467</xdr:row>
      <xdr:rowOff>110837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5CA43D69-40B4-F2DB-B1F7-4B6642D7A8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759" t="26535" r="42415" b="17431"/>
        <a:stretch/>
      </xdr:blipFill>
      <xdr:spPr>
        <a:xfrm>
          <a:off x="1607128" y="78458291"/>
          <a:ext cx="10390909" cy="5763491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</xdr:colOff>
      <xdr:row>486</xdr:row>
      <xdr:rowOff>0</xdr:rowOff>
    </xdr:from>
    <xdr:to>
      <xdr:col>9</xdr:col>
      <xdr:colOff>41563</xdr:colOff>
      <xdr:row>518</xdr:row>
      <xdr:rowOff>55418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8548B298-15FF-B18D-CF4C-22DB833B51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26670" r="42796" b="16757"/>
        <a:stretch/>
      </xdr:blipFill>
      <xdr:spPr>
        <a:xfrm>
          <a:off x="1593272" y="87533018"/>
          <a:ext cx="10460182" cy="5818909"/>
        </a:xfrm>
        <a:prstGeom prst="rect">
          <a:avLst/>
        </a:prstGeom>
      </xdr:spPr>
    </xdr:pic>
    <xdr:clientData/>
  </xdr:twoCellAnchor>
  <xdr:twoCellAnchor editAs="oneCell">
    <xdr:from>
      <xdr:col>1</xdr:col>
      <xdr:colOff>579120</xdr:colOff>
      <xdr:row>538</xdr:row>
      <xdr:rowOff>60959</xdr:rowOff>
    </xdr:from>
    <xdr:to>
      <xdr:col>11</xdr:col>
      <xdr:colOff>8313</xdr:colOff>
      <xdr:row>578</xdr:row>
      <xdr:rowOff>121920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A22EC8A4-225D-2DAE-C6D3-B069DAD088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3129" t="18305" r="13244" b="11379"/>
        <a:stretch/>
      </xdr:blipFill>
      <xdr:spPr>
        <a:xfrm>
          <a:off x="1371600" y="98450399"/>
          <a:ext cx="13502640" cy="7376161"/>
        </a:xfrm>
        <a:prstGeom prst="rect">
          <a:avLst/>
        </a:prstGeom>
      </xdr:spPr>
    </xdr:pic>
    <xdr:clientData/>
  </xdr:twoCellAnchor>
  <xdr:twoCellAnchor editAs="oneCell">
    <xdr:from>
      <xdr:col>2</xdr:col>
      <xdr:colOff>243840</xdr:colOff>
      <xdr:row>615</xdr:row>
      <xdr:rowOff>60960</xdr:rowOff>
    </xdr:from>
    <xdr:to>
      <xdr:col>11</xdr:col>
      <xdr:colOff>401782</xdr:colOff>
      <xdr:row>654</xdr:row>
      <xdr:rowOff>152400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43C8E83F-617D-0EB6-4E67-47FA61A93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3167" t="17483" r="13323" b="12285"/>
        <a:stretch/>
      </xdr:blipFill>
      <xdr:spPr>
        <a:xfrm>
          <a:off x="1828800" y="112532160"/>
          <a:ext cx="13441680" cy="7223760"/>
        </a:xfrm>
        <a:prstGeom prst="rect">
          <a:avLst/>
        </a:prstGeom>
      </xdr:spPr>
    </xdr:pic>
    <xdr:clientData/>
  </xdr:twoCellAnchor>
  <xdr:twoCellAnchor editAs="oneCell">
    <xdr:from>
      <xdr:col>2</xdr:col>
      <xdr:colOff>426720</xdr:colOff>
      <xdr:row>677</xdr:row>
      <xdr:rowOff>91440</xdr:rowOff>
    </xdr:from>
    <xdr:to>
      <xdr:col>11</xdr:col>
      <xdr:colOff>250786</xdr:colOff>
      <xdr:row>718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4ED7EADD-4BC5-6CD6-5A59-C70737725D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32893" r="55161" b="22064"/>
        <a:stretch/>
      </xdr:blipFill>
      <xdr:spPr>
        <a:xfrm>
          <a:off x="2011680" y="123901200"/>
          <a:ext cx="13107804" cy="7406640"/>
        </a:xfrm>
        <a:prstGeom prst="rect">
          <a:avLst/>
        </a:prstGeom>
      </xdr:spPr>
    </xdr:pic>
    <xdr:clientData/>
  </xdr:twoCellAnchor>
  <xdr:twoCellAnchor editAs="oneCell">
    <xdr:from>
      <xdr:col>3</xdr:col>
      <xdr:colOff>13855</xdr:colOff>
      <xdr:row>735</xdr:row>
      <xdr:rowOff>8313</xdr:rowOff>
    </xdr:from>
    <xdr:to>
      <xdr:col>7</xdr:col>
      <xdr:colOff>296486</xdr:colOff>
      <xdr:row>760</xdr:row>
      <xdr:rowOff>157942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BAAE5630-5EB8-F5BF-9D68-54D6A1E9B6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2395" r="54446" b="22367"/>
        <a:stretch/>
      </xdr:blipFill>
      <xdr:spPr>
        <a:xfrm>
          <a:off x="2382982" y="132388495"/>
          <a:ext cx="8345977" cy="4652356"/>
        </a:xfrm>
        <a:prstGeom prst="rect">
          <a:avLst/>
        </a:prstGeom>
      </xdr:spPr>
    </xdr:pic>
    <xdr:clientData/>
  </xdr:twoCellAnchor>
  <xdr:twoCellAnchor editAs="oneCell">
    <xdr:from>
      <xdr:col>2</xdr:col>
      <xdr:colOff>775855</xdr:colOff>
      <xdr:row>788</xdr:row>
      <xdr:rowOff>152400</xdr:rowOff>
    </xdr:from>
    <xdr:to>
      <xdr:col>7</xdr:col>
      <xdr:colOff>189114</xdr:colOff>
      <xdr:row>814</xdr:row>
      <xdr:rowOff>22860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EFD2F065-D7A6-3793-1EEA-1EF8BC0B21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33272" r="54777" b="22367"/>
        <a:stretch/>
      </xdr:blipFill>
      <xdr:spPr>
        <a:xfrm>
          <a:off x="2376055" y="150266400"/>
          <a:ext cx="8271509" cy="4823460"/>
        </a:xfrm>
        <a:prstGeom prst="rect">
          <a:avLst/>
        </a:prstGeom>
      </xdr:spPr>
    </xdr:pic>
    <xdr:clientData/>
  </xdr:twoCellAnchor>
  <xdr:twoCellAnchor editAs="oneCell">
    <xdr:from>
      <xdr:col>3</xdr:col>
      <xdr:colOff>3811</xdr:colOff>
      <xdr:row>836</xdr:row>
      <xdr:rowOff>110489</xdr:rowOff>
    </xdr:from>
    <xdr:to>
      <xdr:col>7</xdr:col>
      <xdr:colOff>232410</xdr:colOff>
      <xdr:row>860</xdr:row>
      <xdr:rowOff>26670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49DBB3AE-158B-8F33-0BBC-D675208BF4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32383" r="53772" b="26480"/>
        <a:stretch/>
      </xdr:blipFill>
      <xdr:spPr>
        <a:xfrm>
          <a:off x="2404111" y="159368489"/>
          <a:ext cx="8286749" cy="448818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762001</xdr:colOff>
      <xdr:row>884</xdr:row>
      <xdr:rowOff>19050</xdr:rowOff>
    </xdr:from>
    <xdr:to>
      <xdr:col>7</xdr:col>
      <xdr:colOff>38100</xdr:colOff>
      <xdr:row>910</xdr:row>
      <xdr:rowOff>19050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5FFBC2BE-3C26-A2A6-DBB8-BA82BF9A7D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32383" r="54620" b="22105"/>
        <a:stretch/>
      </xdr:blipFill>
      <xdr:spPr>
        <a:xfrm>
          <a:off x="2362201" y="168421050"/>
          <a:ext cx="8134349" cy="4953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2</xdr:col>
      <xdr:colOff>304800</xdr:colOff>
      <xdr:row>3</xdr:row>
      <xdr:rowOff>121920</xdr:rowOff>
    </xdr:to>
    <xdr:sp macro="" textlink="">
      <xdr:nvSpPr>
        <xdr:cNvPr id="29698" name="AutoShape 2">
          <a:extLst>
            <a:ext uri="{FF2B5EF4-FFF2-40B4-BE49-F238E27FC236}">
              <a16:creationId xmlns:a16="http://schemas.microsoft.com/office/drawing/2014/main" id="{AFC7FAA7-15D0-6AB0-D9EC-47F59C00B333}"/>
            </a:ext>
          </a:extLst>
        </xdr:cNvPr>
        <xdr:cNvSpPr>
          <a:spLocks noChangeAspect="1" noChangeArrowheads="1"/>
        </xdr:cNvSpPr>
      </xdr:nvSpPr>
      <xdr:spPr bwMode="auto">
        <a:xfrm>
          <a:off x="1584960" y="3657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304800</xdr:colOff>
      <xdr:row>4</xdr:row>
      <xdr:rowOff>121920</xdr:rowOff>
    </xdr:to>
    <xdr:sp macro="" textlink="">
      <xdr:nvSpPr>
        <xdr:cNvPr id="29700" name="AutoShape 4">
          <a:extLst>
            <a:ext uri="{FF2B5EF4-FFF2-40B4-BE49-F238E27FC236}">
              <a16:creationId xmlns:a16="http://schemas.microsoft.com/office/drawing/2014/main" id="{64CD51CF-85D7-5EA6-F0D2-9AFA3E762196}"/>
            </a:ext>
          </a:extLst>
        </xdr:cNvPr>
        <xdr:cNvSpPr>
          <a:spLocks noChangeAspect="1" noChangeArrowheads="1"/>
        </xdr:cNvSpPr>
      </xdr:nvSpPr>
      <xdr:spPr bwMode="auto">
        <a:xfrm>
          <a:off x="237744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304800</xdr:colOff>
      <xdr:row>4</xdr:row>
      <xdr:rowOff>121920</xdr:rowOff>
    </xdr:to>
    <xdr:sp macro="" textlink="">
      <xdr:nvSpPr>
        <xdr:cNvPr id="29702" name="AutoShape 6">
          <a:extLst>
            <a:ext uri="{FF2B5EF4-FFF2-40B4-BE49-F238E27FC236}">
              <a16:creationId xmlns:a16="http://schemas.microsoft.com/office/drawing/2014/main" id="{F8EB1DC7-F5E2-009E-D5A2-B774898C9506}"/>
            </a:ext>
          </a:extLst>
        </xdr:cNvPr>
        <xdr:cNvSpPr>
          <a:spLocks noChangeAspect="1" noChangeArrowheads="1"/>
        </xdr:cNvSpPr>
      </xdr:nvSpPr>
      <xdr:spPr bwMode="auto">
        <a:xfrm>
          <a:off x="237744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304800</xdr:colOff>
      <xdr:row>4</xdr:row>
      <xdr:rowOff>121920</xdr:rowOff>
    </xdr:to>
    <xdr:sp macro="" textlink="">
      <xdr:nvSpPr>
        <xdr:cNvPr id="29703" name="AutoShape 7">
          <a:extLst>
            <a:ext uri="{FF2B5EF4-FFF2-40B4-BE49-F238E27FC236}">
              <a16:creationId xmlns:a16="http://schemas.microsoft.com/office/drawing/2014/main" id="{3780663C-E6A7-0BBE-9124-C25EF554A5F8}"/>
            </a:ext>
          </a:extLst>
        </xdr:cNvPr>
        <xdr:cNvSpPr>
          <a:spLocks noChangeAspect="1" noChangeArrowheads="1"/>
        </xdr:cNvSpPr>
      </xdr:nvSpPr>
      <xdr:spPr bwMode="auto">
        <a:xfrm>
          <a:off x="237744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304800</xdr:colOff>
      <xdr:row>4</xdr:row>
      <xdr:rowOff>121920</xdr:rowOff>
    </xdr:to>
    <xdr:sp macro="" textlink="">
      <xdr:nvSpPr>
        <xdr:cNvPr id="29704" name="AutoShape 8">
          <a:extLst>
            <a:ext uri="{FF2B5EF4-FFF2-40B4-BE49-F238E27FC236}">
              <a16:creationId xmlns:a16="http://schemas.microsoft.com/office/drawing/2014/main" id="{E3C9C47A-204C-C06A-DE48-1EBAFDF18438}"/>
            </a:ext>
          </a:extLst>
        </xdr:cNvPr>
        <xdr:cNvSpPr>
          <a:spLocks noChangeAspect="1" noChangeArrowheads="1"/>
        </xdr:cNvSpPr>
      </xdr:nvSpPr>
      <xdr:spPr bwMode="auto">
        <a:xfrm>
          <a:off x="237744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457200</xdr:colOff>
      <xdr:row>2</xdr:row>
      <xdr:rowOff>0</xdr:rowOff>
    </xdr:from>
    <xdr:to>
      <xdr:col>9</xdr:col>
      <xdr:colOff>595993</xdr:colOff>
      <xdr:row>30</xdr:row>
      <xdr:rowOff>171450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A29D48-B471-1522-1AA0-B4683A467F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7964" t="20984" r="27354" b="27623"/>
        <a:stretch/>
      </xdr:blipFill>
      <xdr:spPr>
        <a:xfrm>
          <a:off x="2057400" y="381000"/>
          <a:ext cx="8248650" cy="55054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/>
  <sheetData>
    <row r="1" spans="2:10" ht="31.2">
      <c r="F1" s="311" t="s">
        <v>0</v>
      </c>
      <c r="G1" s="311"/>
      <c r="H1" s="311"/>
      <c r="I1" s="311"/>
    </row>
    <row r="2" spans="2:10" ht="46.2">
      <c r="E2" s="310" t="s">
        <v>1</v>
      </c>
      <c r="F2" s="310"/>
      <c r="G2" s="310"/>
      <c r="H2" s="310"/>
      <c r="I2" s="310"/>
      <c r="J2" s="310"/>
    </row>
    <row r="4" spans="2:10">
      <c r="C4" t="s">
        <v>2</v>
      </c>
    </row>
    <row r="5" spans="2:10">
      <c r="C5" t="s">
        <v>3</v>
      </c>
    </row>
    <row r="7" spans="2:10">
      <c r="C7">
        <f>0.2/4</f>
        <v>0.05</v>
      </c>
      <c r="D7" t="s">
        <v>4</v>
      </c>
    </row>
    <row r="10" spans="2:10">
      <c r="B10" t="s">
        <v>5</v>
      </c>
    </row>
    <row r="11" spans="2:10">
      <c r="C11" t="s">
        <v>6</v>
      </c>
    </row>
    <row r="12" spans="2:10">
      <c r="C12" t="s">
        <v>7</v>
      </c>
    </row>
    <row r="13" spans="2:10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C2" sqref="C2:F9"/>
    </sheetView>
  </sheetViews>
  <sheetFormatPr baseColWidth="10" defaultRowHeight="14.4"/>
  <cols>
    <col min="5" max="5" width="14.21875" bestFit="1" customWidth="1"/>
  </cols>
  <sheetData>
    <row r="2" spans="3:8">
      <c r="C2" s="313" t="s">
        <v>56</v>
      </c>
      <c r="D2" s="314"/>
      <c r="E2" s="314"/>
      <c r="F2" s="315"/>
    </row>
    <row r="3" spans="3:8">
      <c r="C3" s="95"/>
      <c r="D3" s="96"/>
      <c r="E3" s="96"/>
      <c r="F3" s="94"/>
    </row>
    <row r="4" spans="3:8">
      <c r="C4" s="34" t="s">
        <v>57</v>
      </c>
      <c r="D4" s="115"/>
      <c r="E4" s="116"/>
      <c r="F4" s="93"/>
    </row>
    <row r="5" spans="3:8">
      <c r="C5" s="109" t="s">
        <v>9</v>
      </c>
      <c r="D5" s="4" t="s">
        <v>11</v>
      </c>
      <c r="E5" s="104">
        <v>15000</v>
      </c>
      <c r="F5" s="93"/>
    </row>
    <row r="6" spans="3:8">
      <c r="C6" s="110" t="s">
        <v>58</v>
      </c>
      <c r="D6" s="4" t="s">
        <v>12</v>
      </c>
      <c r="E6" s="105">
        <f>12%/4</f>
        <v>0.03</v>
      </c>
      <c r="F6" s="111"/>
    </row>
    <row r="7" spans="3:8">
      <c r="C7" s="107"/>
      <c r="D7" s="22" t="s">
        <v>13</v>
      </c>
      <c r="E7" s="90">
        <f>7.5/3</f>
        <v>2.5</v>
      </c>
      <c r="F7" s="107" t="s">
        <v>59</v>
      </c>
    </row>
    <row r="8" spans="3:8">
      <c r="C8" s="112"/>
      <c r="D8" s="114"/>
      <c r="E8" s="93"/>
      <c r="F8" s="113"/>
    </row>
    <row r="9" spans="3:8">
      <c r="C9" s="111"/>
      <c r="D9" s="22" t="s">
        <v>49</v>
      </c>
      <c r="E9" s="106">
        <f>FV(E6,E7,,-E5)</f>
        <v>16150.438592109504</v>
      </c>
      <c r="F9" s="111"/>
    </row>
    <row r="12" spans="3:8">
      <c r="C12" t="s">
        <v>60</v>
      </c>
    </row>
    <row r="13" spans="3:8">
      <c r="H13" s="102"/>
    </row>
    <row r="15" spans="3:8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/>
  <cols>
    <col min="4" max="4" width="18.33203125" customWidth="1"/>
  </cols>
  <sheetData>
    <row r="2" spans="2:5">
      <c r="C2" s="316" t="s">
        <v>50</v>
      </c>
      <c r="D2" s="316"/>
      <c r="E2" s="316"/>
    </row>
    <row r="4" spans="2:5">
      <c r="B4" s="313" t="s">
        <v>56</v>
      </c>
      <c r="C4" s="314"/>
      <c r="D4" s="314"/>
      <c r="E4" s="315"/>
    </row>
    <row r="5" spans="2:5">
      <c r="B5" s="95"/>
      <c r="C5" s="96"/>
      <c r="D5" s="96"/>
      <c r="E5" s="94"/>
    </row>
    <row r="6" spans="2:5">
      <c r="B6" s="34" t="s">
        <v>57</v>
      </c>
      <c r="C6" s="115"/>
      <c r="D6" s="116"/>
      <c r="E6" s="93"/>
    </row>
    <row r="7" spans="2:5">
      <c r="B7" s="109" t="s">
        <v>9</v>
      </c>
      <c r="C7" s="4" t="s">
        <v>11</v>
      </c>
      <c r="D7" s="104">
        <v>150000</v>
      </c>
      <c r="E7" s="93"/>
    </row>
    <row r="8" spans="2:5">
      <c r="B8" s="110" t="s">
        <v>58</v>
      </c>
      <c r="C8" s="4" t="s">
        <v>12</v>
      </c>
      <c r="D8" s="105">
        <f>20%/2</f>
        <v>0.1</v>
      </c>
      <c r="E8" s="111"/>
    </row>
    <row r="9" spans="2:5">
      <c r="B9" s="107"/>
      <c r="C9" s="22" t="s">
        <v>13</v>
      </c>
      <c r="D9" s="90">
        <f>15/6</f>
        <v>2.5</v>
      </c>
      <c r="E9" s="107" t="s">
        <v>61</v>
      </c>
    </row>
    <row r="10" spans="2:5">
      <c r="B10" s="112"/>
      <c r="C10" s="114"/>
      <c r="D10" s="93"/>
      <c r="E10" s="113"/>
    </row>
    <row r="11" spans="2:5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/>
  <sheetData>
    <row r="2" spans="2:5">
      <c r="C2" s="316" t="s">
        <v>62</v>
      </c>
      <c r="D2" s="316"/>
      <c r="E2" s="316"/>
    </row>
    <row r="3" spans="2:5">
      <c r="C3" s="316"/>
      <c r="D3" s="316"/>
      <c r="E3" s="316"/>
    </row>
    <row r="4" spans="2:5">
      <c r="C4" t="s">
        <v>63</v>
      </c>
    </row>
    <row r="5" spans="2:5">
      <c r="C5" t="s">
        <v>64</v>
      </c>
    </row>
    <row r="6" spans="2:5">
      <c r="C6" t="s">
        <v>65</v>
      </c>
    </row>
    <row r="8" spans="2:5">
      <c r="B8" t="s">
        <v>66</v>
      </c>
      <c r="C8" t="s">
        <v>67</v>
      </c>
    </row>
    <row r="9" spans="2:5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E6" sqref="E6"/>
    </sheetView>
  </sheetViews>
  <sheetFormatPr baseColWidth="10" defaultRowHeight="14.4"/>
  <cols>
    <col min="5" max="5" width="14.21875" bestFit="1" customWidth="1"/>
    <col min="6" max="6" width="14.21875" customWidth="1"/>
  </cols>
  <sheetData>
    <row r="2" spans="3:7">
      <c r="C2" s="321" t="s">
        <v>69</v>
      </c>
      <c r="D2" s="322"/>
      <c r="E2" s="322"/>
      <c r="F2" s="322"/>
      <c r="G2" s="323"/>
    </row>
    <row r="3" spans="3:7">
      <c r="C3" s="126"/>
      <c r="D3" s="127"/>
      <c r="E3" s="128"/>
      <c r="F3" s="120"/>
      <c r="G3" s="121"/>
    </row>
    <row r="4" spans="3:7">
      <c r="C4" s="107" t="s">
        <v>33</v>
      </c>
      <c r="D4" s="21" t="s">
        <v>70</v>
      </c>
      <c r="E4" s="118">
        <v>50000</v>
      </c>
      <c r="F4" s="120"/>
      <c r="G4" s="122"/>
    </row>
    <row r="5" spans="3:7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>
      <c r="C6" s="124"/>
      <c r="D6" s="119" t="s">
        <v>13</v>
      </c>
      <c r="E6" s="108">
        <f>3*2</f>
        <v>6</v>
      </c>
      <c r="F6" s="319" t="s">
        <v>71</v>
      </c>
      <c r="G6" s="320"/>
    </row>
    <row r="7" spans="3:7">
      <c r="C7" s="125"/>
      <c r="D7" s="22"/>
      <c r="E7" s="90"/>
      <c r="F7" s="43"/>
      <c r="G7" s="123"/>
    </row>
    <row r="8" spans="3:7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/>
  <cols>
    <col min="6" max="6" width="19.109375" customWidth="1"/>
    <col min="7" max="7" width="15.21875" customWidth="1"/>
  </cols>
  <sheetData>
    <row r="1" spans="4:8">
      <c r="D1" s="316"/>
      <c r="E1" s="316"/>
      <c r="F1" s="316"/>
      <c r="G1" s="316"/>
    </row>
    <row r="3" spans="4:8">
      <c r="D3" s="321" t="s">
        <v>73</v>
      </c>
      <c r="E3" s="322"/>
      <c r="F3" s="322"/>
      <c r="G3" s="322"/>
      <c r="H3" s="323"/>
    </row>
    <row r="4" spans="4:8">
      <c r="D4" s="135"/>
      <c r="E4" s="136"/>
      <c r="F4" s="137"/>
      <c r="G4" s="130"/>
      <c r="H4" s="131"/>
    </row>
    <row r="5" spans="4:8">
      <c r="D5" s="142" t="s">
        <v>76</v>
      </c>
      <c r="E5" s="141"/>
      <c r="F5" s="118">
        <v>450000</v>
      </c>
      <c r="G5" s="130"/>
      <c r="H5" s="132"/>
    </row>
    <row r="6" spans="4:8">
      <c r="D6" s="142" t="s">
        <v>75</v>
      </c>
      <c r="E6" s="141"/>
      <c r="F6" s="118">
        <v>225000</v>
      </c>
      <c r="G6" s="130"/>
      <c r="H6" s="132"/>
    </row>
    <row r="7" spans="4:8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>
      <c r="D9" s="138"/>
      <c r="E9" s="119" t="s">
        <v>13</v>
      </c>
      <c r="F9" s="108">
        <f>1.5*12</f>
        <v>18</v>
      </c>
      <c r="G9" s="319" t="s">
        <v>74</v>
      </c>
      <c r="H9" s="320"/>
    </row>
    <row r="10" spans="4:8">
      <c r="D10" s="139"/>
      <c r="E10" s="22"/>
      <c r="F10" s="90"/>
      <c r="G10" s="140"/>
      <c r="H10" s="134"/>
    </row>
    <row r="11" spans="4:8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/>
  <cols>
    <col min="5" max="5" width="11.77734375" bestFit="1" customWidth="1"/>
  </cols>
  <sheetData>
    <row r="2" spans="3:6">
      <c r="D2" s="316" t="s">
        <v>78</v>
      </c>
      <c r="E2" s="316"/>
      <c r="F2" s="316"/>
    </row>
    <row r="4" spans="3:6">
      <c r="C4" t="s">
        <v>79</v>
      </c>
      <c r="E4" s="48"/>
    </row>
    <row r="5" spans="3:6">
      <c r="C5" t="s">
        <v>80</v>
      </c>
      <c r="E5" s="48"/>
    </row>
    <row r="6" spans="3:6">
      <c r="E6" s="48"/>
    </row>
    <row r="7" spans="3:6">
      <c r="C7" t="s">
        <v>81</v>
      </c>
    </row>
    <row r="8" spans="3:6">
      <c r="C8" t="s">
        <v>82</v>
      </c>
    </row>
    <row r="9" spans="3:6">
      <c r="C9" t="s">
        <v>84</v>
      </c>
    </row>
    <row r="10" spans="3:6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E19" sqref="E19"/>
    </sheetView>
  </sheetViews>
  <sheetFormatPr baseColWidth="10" defaultRowHeight="14.4"/>
  <cols>
    <col min="6" max="6" width="11.77734375" bestFit="1" customWidth="1"/>
    <col min="8" max="8" width="14.77734375" customWidth="1"/>
  </cols>
  <sheetData>
    <row r="3" spans="3:8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>
      <c r="C5" s="152"/>
      <c r="D5" s="165" t="s">
        <v>13</v>
      </c>
      <c r="E5" s="50"/>
      <c r="F5" s="166">
        <v>2</v>
      </c>
      <c r="G5" s="154"/>
      <c r="H5" s="155"/>
    </row>
    <row r="6" spans="3:8">
      <c r="C6" s="152"/>
      <c r="D6" s="4"/>
      <c r="E6" s="161"/>
      <c r="F6" s="4"/>
      <c r="G6" s="154"/>
      <c r="H6" s="155"/>
    </row>
    <row r="7" spans="3:8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>
      <c r="C8" s="153"/>
      <c r="D8" s="50"/>
      <c r="E8" s="168"/>
      <c r="F8" s="57"/>
      <c r="G8" s="154"/>
      <c r="H8" s="155"/>
    </row>
    <row r="9" spans="3:8">
      <c r="C9" s="329" t="s">
        <v>86</v>
      </c>
      <c r="D9" s="330"/>
      <c r="E9" s="330"/>
      <c r="F9" s="149">
        <f>F7</f>
        <v>51200</v>
      </c>
      <c r="G9" s="154"/>
      <c r="H9" s="155"/>
    </row>
    <row r="10" spans="3:8">
      <c r="C10" s="157"/>
      <c r="D10" s="158"/>
      <c r="E10" s="158"/>
      <c r="F10" s="159"/>
      <c r="G10" s="154"/>
      <c r="H10" s="155"/>
    </row>
    <row r="11" spans="3:8">
      <c r="C11" s="329" t="s">
        <v>87</v>
      </c>
      <c r="D11" s="330"/>
      <c r="E11" s="330"/>
      <c r="F11" s="150">
        <v>50000</v>
      </c>
      <c r="G11" s="154"/>
      <c r="H11" s="155"/>
    </row>
    <row r="12" spans="3:8">
      <c r="C12" s="156"/>
      <c r="D12" s="160"/>
      <c r="E12" s="160"/>
      <c r="F12" s="160"/>
      <c r="G12" s="156"/>
      <c r="H12" s="155"/>
    </row>
    <row r="13" spans="3:8">
      <c r="C13" s="324" t="s">
        <v>88</v>
      </c>
      <c r="D13" s="325"/>
      <c r="E13" s="331">
        <f>F9-F11</f>
        <v>1200</v>
      </c>
      <c r="F13" s="332"/>
      <c r="G13" s="328" t="s">
        <v>89</v>
      </c>
      <c r="H13" s="325"/>
    </row>
    <row r="14" spans="3:8">
      <c r="C14" s="326"/>
      <c r="D14" s="327"/>
      <c r="E14" s="160"/>
      <c r="F14" s="160"/>
      <c r="G14" s="326"/>
      <c r="H14" s="327"/>
    </row>
    <row r="25" spans="6:6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G21" sqref="G21"/>
    </sheetView>
  </sheetViews>
  <sheetFormatPr baseColWidth="10" defaultRowHeight="14.4"/>
  <cols>
    <col min="5" max="5" width="16.88671875" customWidth="1"/>
    <col min="6" max="6" width="16.21875" customWidth="1"/>
    <col min="7" max="7" width="29.21875" customWidth="1"/>
  </cols>
  <sheetData>
    <row r="1" spans="3:7">
      <c r="C1" s="169"/>
      <c r="D1" s="314" t="s">
        <v>90</v>
      </c>
      <c r="E1" s="314"/>
      <c r="F1" s="314"/>
      <c r="G1" s="170"/>
    </row>
    <row r="2" spans="3:7">
      <c r="C2" s="21"/>
      <c r="D2" s="22"/>
      <c r="E2" s="22"/>
      <c r="F2" s="22"/>
      <c r="G2" s="103"/>
    </row>
    <row r="3" spans="3:7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>
      <c r="C6" s="110"/>
      <c r="D6" s="34"/>
      <c r="E6" s="38"/>
      <c r="F6" s="38"/>
      <c r="G6" s="108"/>
    </row>
    <row r="7" spans="3:7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>
      <c r="C8" s="107"/>
      <c r="D8" s="22"/>
      <c r="E8" s="22"/>
      <c r="F8" s="22"/>
      <c r="G8" s="103"/>
    </row>
    <row r="9" spans="3:7">
      <c r="D9" s="169"/>
      <c r="E9" s="176"/>
      <c r="F9" s="176"/>
      <c r="G9" s="170"/>
    </row>
    <row r="10" spans="3:7">
      <c r="D10" s="333" t="s">
        <v>86</v>
      </c>
      <c r="E10" s="334"/>
      <c r="F10" s="6">
        <f>E7+F7+G7</f>
        <v>282798.83381924202</v>
      </c>
      <c r="G10" s="85"/>
    </row>
    <row r="11" spans="3:7">
      <c r="D11" s="333" t="s">
        <v>91</v>
      </c>
      <c r="E11" s="334"/>
      <c r="F11" s="6">
        <v>350000</v>
      </c>
      <c r="G11" s="85"/>
    </row>
    <row r="12" spans="3:7">
      <c r="D12" s="333" t="s">
        <v>92</v>
      </c>
      <c r="E12" s="334"/>
      <c r="F12" s="6">
        <f>F10-F11</f>
        <v>-67201.16618075798</v>
      </c>
      <c r="G12" s="335" t="s">
        <v>93</v>
      </c>
    </row>
    <row r="13" spans="3:7">
      <c r="D13" s="171"/>
      <c r="E13" s="4"/>
      <c r="F13" s="4"/>
      <c r="G13" s="335"/>
    </row>
    <row r="14" spans="3:7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zoomScale="85" zoomScaleNormal="85" workbookViewId="0">
      <selection activeCell="G31" sqref="G31"/>
    </sheetView>
  </sheetViews>
  <sheetFormatPr baseColWidth="10" defaultRowHeight="14.4"/>
  <cols>
    <col min="6" max="6" width="18.109375" customWidth="1"/>
    <col min="7" max="7" width="21.21875" customWidth="1"/>
    <col min="8" max="8" width="35.44140625" customWidth="1"/>
  </cols>
  <sheetData>
    <row r="1" spans="4:10">
      <c r="D1" s="316" t="s">
        <v>90</v>
      </c>
      <c r="E1" s="316"/>
      <c r="F1" s="316"/>
    </row>
    <row r="3" spans="4:10">
      <c r="D3" s="177" t="s">
        <v>33</v>
      </c>
      <c r="E3" s="178" t="s">
        <v>70</v>
      </c>
      <c r="F3" s="185">
        <v>120000</v>
      </c>
      <c r="G3" s="190"/>
      <c r="H3" s="190"/>
    </row>
    <row r="4" spans="4:10">
      <c r="D4" s="179" t="s">
        <v>10</v>
      </c>
      <c r="E4" s="4" t="s">
        <v>12</v>
      </c>
      <c r="F4" s="186">
        <v>0.15</v>
      </c>
      <c r="G4" s="100"/>
      <c r="H4" s="100"/>
    </row>
    <row r="5" spans="4:10">
      <c r="D5" s="180"/>
      <c r="E5" s="165" t="s">
        <v>13</v>
      </c>
      <c r="F5" s="187">
        <v>2</v>
      </c>
      <c r="G5" s="100"/>
      <c r="H5" s="100"/>
    </row>
    <row r="6" spans="4:10">
      <c r="D6" s="180"/>
      <c r="E6" s="198"/>
      <c r="F6" s="199"/>
      <c r="G6" s="99"/>
      <c r="H6" s="100"/>
    </row>
    <row r="7" spans="4:10">
      <c r="D7" s="180"/>
      <c r="E7" s="67" t="s">
        <v>85</v>
      </c>
      <c r="F7" s="188">
        <f>F3/((1+F4)^F5)</f>
        <v>90737.240075614376</v>
      </c>
      <c r="G7" s="182"/>
      <c r="H7" s="100"/>
    </row>
    <row r="8" spans="4:10">
      <c r="D8" s="181"/>
      <c r="E8" s="195"/>
      <c r="F8" s="196"/>
      <c r="G8" s="197"/>
      <c r="H8" s="100"/>
    </row>
    <row r="9" spans="4:10">
      <c r="D9" s="337" t="s">
        <v>86</v>
      </c>
      <c r="E9" s="330"/>
      <c r="F9" s="330"/>
      <c r="G9" s="184">
        <f>F7</f>
        <v>90737.240075614376</v>
      </c>
      <c r="H9" s="100"/>
      <c r="J9" t="s">
        <v>97</v>
      </c>
    </row>
    <row r="10" spans="4:10">
      <c r="D10" s="97"/>
      <c r="E10" s="194"/>
      <c r="F10" s="194"/>
      <c r="G10" s="99"/>
      <c r="H10" s="100"/>
    </row>
    <row r="11" spans="4:10">
      <c r="D11" s="338" t="s">
        <v>87</v>
      </c>
      <c r="E11" s="312"/>
      <c r="F11" s="312"/>
      <c r="G11" s="183">
        <v>95000</v>
      </c>
      <c r="H11" s="100"/>
    </row>
    <row r="12" spans="4:10">
      <c r="D12" s="191"/>
      <c r="E12" s="192"/>
      <c r="F12" s="192"/>
      <c r="G12" s="193"/>
      <c r="H12" s="100"/>
    </row>
    <row r="13" spans="4:10">
      <c r="D13" s="321" t="s">
        <v>92</v>
      </c>
      <c r="E13" s="322"/>
      <c r="F13" s="322"/>
      <c r="G13" s="189">
        <f>G9-G11</f>
        <v>-4262.7599243856239</v>
      </c>
      <c r="H13" s="85" t="s">
        <v>95</v>
      </c>
    </row>
    <row r="14" spans="4:10">
      <c r="D14" s="101"/>
      <c r="E14" s="98"/>
      <c r="F14" s="98"/>
      <c r="G14" s="99"/>
      <c r="H14" s="99"/>
    </row>
    <row r="16" spans="4:10">
      <c r="D16" s="316" t="s">
        <v>77</v>
      </c>
      <c r="E16" s="316"/>
      <c r="F16" s="316"/>
      <c r="G16" t="s">
        <v>98</v>
      </c>
    </row>
    <row r="17" spans="4:8">
      <c r="E17" s="22"/>
      <c r="F17" s="22"/>
      <c r="G17" s="22"/>
      <c r="H17" s="22"/>
    </row>
    <row r="18" spans="4:8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>
      <c r="D21" s="124"/>
      <c r="E21" s="34"/>
      <c r="F21" s="38"/>
      <c r="G21" s="38"/>
      <c r="H21" s="108"/>
    </row>
    <row r="22" spans="4:8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>
      <c r="D23" s="126"/>
      <c r="E23" s="43"/>
      <c r="F23" s="43"/>
      <c r="G23" s="43"/>
      <c r="H23" s="44"/>
    </row>
    <row r="24" spans="4:8">
      <c r="D24" s="124"/>
      <c r="E24" s="169"/>
      <c r="F24" s="26"/>
      <c r="G24" s="203"/>
      <c r="H24" s="200"/>
    </row>
    <row r="25" spans="4:8">
      <c r="D25" s="124"/>
      <c r="E25" s="333" t="s">
        <v>86</v>
      </c>
      <c r="F25" s="334"/>
      <c r="G25" s="204">
        <f>F22+G22+H22</f>
        <v>555792.18294460629</v>
      </c>
      <c r="H25" s="201"/>
    </row>
    <row r="26" spans="4:8">
      <c r="D26" s="124"/>
      <c r="E26" s="333" t="s">
        <v>91</v>
      </c>
      <c r="F26" s="336"/>
      <c r="G26" s="204">
        <v>400000</v>
      </c>
      <c r="H26" s="201"/>
    </row>
    <row r="27" spans="4:8">
      <c r="D27" s="124"/>
      <c r="E27" s="333" t="s">
        <v>94</v>
      </c>
      <c r="F27" s="334"/>
      <c r="G27" s="204">
        <f>G25-G26</f>
        <v>155792.18294460629</v>
      </c>
      <c r="H27" s="335" t="s">
        <v>96</v>
      </c>
    </row>
    <row r="28" spans="4:8">
      <c r="D28" s="124"/>
      <c r="E28" s="171"/>
      <c r="F28" s="163"/>
      <c r="G28" s="187"/>
      <c r="H28" s="335"/>
    </row>
    <row r="29" spans="4:8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H21" sqref="H21"/>
    </sheetView>
  </sheetViews>
  <sheetFormatPr baseColWidth="10" defaultRowHeight="14.4"/>
  <sheetData>
    <row r="1" spans="3:6">
      <c r="D1" s="316" t="s">
        <v>99</v>
      </c>
      <c r="E1" s="316"/>
      <c r="F1" s="316"/>
    </row>
    <row r="3" spans="3:6">
      <c r="C3" t="s">
        <v>100</v>
      </c>
      <c r="D3" s="205" t="s">
        <v>102</v>
      </c>
    </row>
    <row r="4" spans="3:6">
      <c r="C4" t="s">
        <v>101</v>
      </c>
    </row>
    <row r="6" spans="3:6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/>
  <cols>
    <col min="5" max="5" width="17.6640625" customWidth="1"/>
    <col min="6" max="6" width="15.21875" bestFit="1" customWidth="1"/>
    <col min="7" max="7" width="16.6640625" customWidth="1"/>
  </cols>
  <sheetData>
    <row r="1" spans="3:7">
      <c r="C1" s="1"/>
      <c r="D1" s="312" t="s">
        <v>22</v>
      </c>
      <c r="E1" s="312"/>
      <c r="F1" s="312"/>
      <c r="G1" s="2"/>
    </row>
    <row r="2" spans="3:7">
      <c r="C2" s="20"/>
      <c r="D2" s="24"/>
      <c r="E2" s="24"/>
      <c r="F2" s="24"/>
      <c r="G2" s="25"/>
    </row>
    <row r="3" spans="3:7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>
      <c r="C5" s="19"/>
      <c r="D5" s="21" t="s">
        <v>13</v>
      </c>
      <c r="E5" s="28"/>
      <c r="F5" s="22">
        <f>6/3</f>
        <v>2</v>
      </c>
      <c r="G5" s="23" t="s">
        <v>15</v>
      </c>
    </row>
    <row r="6" spans="3:7">
      <c r="C6" s="12"/>
      <c r="D6" s="13"/>
      <c r="E6" s="13"/>
      <c r="F6" s="13"/>
      <c r="G6" s="14"/>
    </row>
    <row r="8" spans="3:7">
      <c r="D8" s="15"/>
      <c r="E8" s="16" t="s">
        <v>16</v>
      </c>
      <c r="F8" s="16" t="s">
        <v>17</v>
      </c>
      <c r="G8" s="17" t="s">
        <v>18</v>
      </c>
    </row>
    <row r="9" spans="3:7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>
      <c r="D11" s="29" t="s">
        <v>19</v>
      </c>
      <c r="E11" s="30"/>
      <c r="F11" s="31">
        <f>SUM(F9:F10)</f>
        <v>10250</v>
      </c>
      <c r="G11" s="32"/>
    </row>
    <row r="14" spans="3:7">
      <c r="C14" s="313" t="s">
        <v>20</v>
      </c>
      <c r="D14" s="314"/>
      <c r="E14" s="315"/>
      <c r="F14" s="33"/>
    </row>
    <row r="15" spans="3:7">
      <c r="C15" s="42"/>
      <c r="D15" s="43"/>
      <c r="E15" s="44"/>
    </row>
    <row r="16" spans="3:7">
      <c r="C16" s="39" t="s">
        <v>9</v>
      </c>
      <c r="D16" s="34" t="s">
        <v>11</v>
      </c>
      <c r="E16" s="35">
        <f>F3</f>
        <v>100000</v>
      </c>
    </row>
    <row r="17" spans="2:5">
      <c r="C17" s="39" t="s">
        <v>10</v>
      </c>
      <c r="D17" s="21" t="s">
        <v>12</v>
      </c>
      <c r="E17" s="36">
        <f>F4</f>
        <v>0.05</v>
      </c>
    </row>
    <row r="18" spans="2:5">
      <c r="B18" s="4"/>
      <c r="C18" s="45"/>
      <c r="D18" s="34" t="s">
        <v>13</v>
      </c>
      <c r="E18" s="37">
        <f>6/3</f>
        <v>2</v>
      </c>
    </row>
    <row r="19" spans="2:5">
      <c r="B19" s="4"/>
      <c r="C19" s="46"/>
      <c r="D19" s="40"/>
      <c r="E19" s="41"/>
    </row>
    <row r="20" spans="2:5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G24" sqref="G24"/>
    </sheetView>
  </sheetViews>
  <sheetFormatPr baseColWidth="10" defaultRowHeight="14.4"/>
  <cols>
    <col min="5" max="5" width="26.44140625" customWidth="1"/>
  </cols>
  <sheetData>
    <row r="2" spans="3:7">
      <c r="C2" s="317" t="s">
        <v>90</v>
      </c>
      <c r="D2" s="312"/>
      <c r="E2" s="318"/>
    </row>
    <row r="3" spans="3:7">
      <c r="C3" s="82"/>
      <c r="D3" s="83"/>
      <c r="E3" s="84"/>
    </row>
    <row r="4" spans="3:7">
      <c r="C4" s="211" t="s">
        <v>33</v>
      </c>
      <c r="D4" s="207" t="s">
        <v>70</v>
      </c>
      <c r="E4" s="206">
        <v>2000</v>
      </c>
    </row>
    <row r="5" spans="3:7">
      <c r="C5" s="212" t="s">
        <v>9</v>
      </c>
      <c r="D5" s="4" t="s">
        <v>11</v>
      </c>
      <c r="E5" s="208">
        <v>1000</v>
      </c>
    </row>
    <row r="6" spans="3:7">
      <c r="C6" s="212" t="s">
        <v>10</v>
      </c>
      <c r="D6" s="4" t="s">
        <v>12</v>
      </c>
      <c r="E6" s="209">
        <f>0.36/12</f>
        <v>0.03</v>
      </c>
    </row>
    <row r="7" spans="3:7">
      <c r="C7" s="215"/>
      <c r="D7" s="22" t="s">
        <v>13</v>
      </c>
      <c r="E7" s="210" t="s">
        <v>104</v>
      </c>
    </row>
    <row r="8" spans="3:7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>
      <c r="C9" s="216"/>
      <c r="D9" s="83"/>
      <c r="E9" s="84"/>
    </row>
    <row r="12" spans="3:7">
      <c r="C12" s="317" t="s">
        <v>106</v>
      </c>
      <c r="D12" s="312"/>
      <c r="E12" s="318"/>
    </row>
    <row r="13" spans="3:7">
      <c r="C13" s="79"/>
      <c r="D13" s="220"/>
      <c r="E13" s="221"/>
    </row>
    <row r="14" spans="3:7">
      <c r="C14" s="211" t="s">
        <v>33</v>
      </c>
      <c r="D14" s="207" t="s">
        <v>70</v>
      </c>
      <c r="E14" s="206">
        <v>2000</v>
      </c>
    </row>
    <row r="15" spans="3:7">
      <c r="C15" s="212" t="s">
        <v>9</v>
      </c>
      <c r="D15" s="4" t="s">
        <v>11</v>
      </c>
      <c r="E15" s="208">
        <v>1000</v>
      </c>
    </row>
    <row r="16" spans="3:7">
      <c r="C16" s="212" t="s">
        <v>10</v>
      </c>
      <c r="D16" s="4" t="s">
        <v>12</v>
      </c>
      <c r="E16" s="209">
        <f>0.24/12</f>
        <v>0.02</v>
      </c>
    </row>
    <row r="17" spans="3:5">
      <c r="C17" s="218"/>
      <c r="D17" s="22" t="s">
        <v>13</v>
      </c>
      <c r="E17" s="210" t="s">
        <v>104</v>
      </c>
    </row>
    <row r="18" spans="3:5">
      <c r="C18" s="218"/>
      <c r="D18" s="213" t="s">
        <v>102</v>
      </c>
      <c r="E18" s="217">
        <f>(LOG(E14/E15))/(LOG(1+E16))</f>
        <v>35.002788781146499</v>
      </c>
    </row>
    <row r="19" spans="3:5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0" workbookViewId="0">
      <selection activeCell="F19" sqref="F19"/>
    </sheetView>
  </sheetViews>
  <sheetFormatPr baseColWidth="10" defaultRowHeight="14.4"/>
  <cols>
    <col min="5" max="5" width="34.109375" customWidth="1"/>
  </cols>
  <sheetData>
    <row r="2" spans="3:5">
      <c r="C2" s="317" t="s">
        <v>90</v>
      </c>
      <c r="D2" s="312"/>
      <c r="E2" s="318"/>
    </row>
    <row r="3" spans="3:5">
      <c r="C3" s="82"/>
      <c r="D3" s="83"/>
      <c r="E3" s="84"/>
    </row>
    <row r="4" spans="3:5">
      <c r="C4" s="211" t="s">
        <v>33</v>
      </c>
      <c r="D4" s="207" t="s">
        <v>70</v>
      </c>
      <c r="E4" s="206">
        <v>1</v>
      </c>
    </row>
    <row r="5" spans="3:5">
      <c r="C5" s="212" t="s">
        <v>9</v>
      </c>
      <c r="D5" s="4" t="s">
        <v>11</v>
      </c>
      <c r="E5" s="222">
        <f>E4*0.5</f>
        <v>0.5</v>
      </c>
    </row>
    <row r="6" spans="3:5">
      <c r="C6" s="212" t="s">
        <v>10</v>
      </c>
      <c r="D6" s="4" t="s">
        <v>12</v>
      </c>
      <c r="E6" s="209">
        <f>E5</f>
        <v>0.5</v>
      </c>
    </row>
    <row r="7" spans="3:5">
      <c r="C7" s="215"/>
      <c r="D7" s="22" t="s">
        <v>13</v>
      </c>
      <c r="E7" s="210" t="s">
        <v>104</v>
      </c>
    </row>
    <row r="8" spans="3:5">
      <c r="C8" s="215"/>
      <c r="D8" s="213" t="s">
        <v>102</v>
      </c>
      <c r="E8" s="214">
        <f>(LOG(E4/E5))/(LOG(1+E6))</f>
        <v>1.7095112913514547</v>
      </c>
    </row>
    <row r="9" spans="3:5">
      <c r="C9" s="216"/>
      <c r="D9" s="83"/>
      <c r="E9" s="84"/>
    </row>
    <row r="12" spans="3:5">
      <c r="C12" s="317" t="s">
        <v>107</v>
      </c>
      <c r="D12" s="312"/>
      <c r="E12" s="318"/>
    </row>
    <row r="13" spans="3:5">
      <c r="C13" s="224"/>
      <c r="D13" s="195"/>
      <c r="E13" s="225"/>
    </row>
    <row r="14" spans="3:5">
      <c r="C14" s="211" t="s">
        <v>33</v>
      </c>
      <c r="D14" s="207" t="s">
        <v>70</v>
      </c>
      <c r="E14" s="206">
        <v>1</v>
      </c>
    </row>
    <row r="15" spans="3:5">
      <c r="C15" s="212" t="s">
        <v>9</v>
      </c>
      <c r="D15" s="4" t="s">
        <v>11</v>
      </c>
      <c r="E15" s="222">
        <f>E14*0.5</f>
        <v>0.5</v>
      </c>
    </row>
    <row r="16" spans="3:5">
      <c r="C16" s="212" t="s">
        <v>10</v>
      </c>
      <c r="D16" s="4" t="s">
        <v>12</v>
      </c>
      <c r="E16" s="223">
        <f>0.3</f>
        <v>0.3</v>
      </c>
    </row>
    <row r="17" spans="3:5">
      <c r="C17" s="226"/>
      <c r="D17" s="22" t="s">
        <v>13</v>
      </c>
      <c r="E17" s="210" t="s">
        <v>104</v>
      </c>
    </row>
    <row r="18" spans="3:5">
      <c r="C18" s="226"/>
      <c r="D18" s="213" t="s">
        <v>102</v>
      </c>
      <c r="E18" s="214">
        <f>(LOG(E14/E15))/(LOG(1+E16))</f>
        <v>2.6419267958111399</v>
      </c>
    </row>
    <row r="19" spans="3:5">
      <c r="C19" s="227"/>
      <c r="D19" s="195"/>
      <c r="E19" s="225"/>
    </row>
    <row r="22" spans="3:5">
      <c r="C22" s="317" t="s">
        <v>108</v>
      </c>
      <c r="D22" s="312"/>
      <c r="E22" s="318"/>
    </row>
    <row r="23" spans="3:5">
      <c r="C23" s="79"/>
      <c r="D23" s="220"/>
      <c r="E23" s="221"/>
    </row>
    <row r="24" spans="3:5">
      <c r="C24" s="211" t="s">
        <v>33</v>
      </c>
      <c r="D24" s="207" t="s">
        <v>70</v>
      </c>
      <c r="E24" s="206">
        <v>1</v>
      </c>
    </row>
    <row r="25" spans="3:5">
      <c r="C25" s="212" t="s">
        <v>9</v>
      </c>
      <c r="D25" s="4" t="s">
        <v>11</v>
      </c>
      <c r="E25" s="222">
        <f>E24*0.5</f>
        <v>0.5</v>
      </c>
    </row>
    <row r="26" spans="3:5">
      <c r="C26" s="212" t="s">
        <v>10</v>
      </c>
      <c r="D26" s="4" t="s">
        <v>12</v>
      </c>
      <c r="E26" s="209">
        <v>1</v>
      </c>
    </row>
    <row r="27" spans="3:5">
      <c r="C27" s="218"/>
      <c r="D27" s="22" t="s">
        <v>13</v>
      </c>
      <c r="E27" s="210" t="s">
        <v>104</v>
      </c>
    </row>
    <row r="28" spans="3:5">
      <c r="C28" s="218"/>
      <c r="D28" s="213" t="s">
        <v>102</v>
      </c>
      <c r="E28" s="214">
        <f>(LOG(E24/E25))/(LOG(1+E26))</f>
        <v>1</v>
      </c>
    </row>
    <row r="29" spans="3:5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topLeftCell="A56" workbookViewId="0">
      <selection activeCell="C22" sqref="C22:E79"/>
    </sheetView>
  </sheetViews>
  <sheetFormatPr baseColWidth="10" defaultRowHeight="14.4"/>
  <cols>
    <col min="5" max="5" width="14.21875" customWidth="1"/>
  </cols>
  <sheetData>
    <row r="1" spans="3:5">
      <c r="C1" s="316" t="s">
        <v>109</v>
      </c>
      <c r="D1" s="316"/>
      <c r="E1" s="316"/>
    </row>
    <row r="2" spans="3:5">
      <c r="C2" s="317" t="s">
        <v>90</v>
      </c>
      <c r="D2" s="312"/>
      <c r="E2" s="318"/>
    </row>
    <row r="3" spans="3:5">
      <c r="C3" s="224"/>
      <c r="D3" s="195"/>
      <c r="E3" s="225"/>
    </row>
    <row r="4" spans="3:5">
      <c r="C4" s="211" t="s">
        <v>33</v>
      </c>
      <c r="D4" s="207" t="s">
        <v>70</v>
      </c>
      <c r="E4" s="206">
        <v>3000</v>
      </c>
    </row>
    <row r="5" spans="3:5">
      <c r="C5" s="212" t="s">
        <v>9</v>
      </c>
      <c r="D5" s="4" t="s">
        <v>11</v>
      </c>
      <c r="E5" s="208">
        <v>1000</v>
      </c>
    </row>
    <row r="6" spans="3:5">
      <c r="C6" s="212" t="s">
        <v>10</v>
      </c>
      <c r="D6" s="4" t="s">
        <v>12</v>
      </c>
      <c r="E6" s="209">
        <f>0.12/12</f>
        <v>0.01</v>
      </c>
    </row>
    <row r="7" spans="3:5">
      <c r="C7" s="226"/>
      <c r="D7" s="22" t="s">
        <v>13</v>
      </c>
      <c r="E7" s="210" t="s">
        <v>104</v>
      </c>
    </row>
    <row r="8" spans="3:5">
      <c r="C8" s="226"/>
      <c r="D8" s="213" t="s">
        <v>102</v>
      </c>
      <c r="E8" s="217">
        <f>(LOG(E4/E5))/(LOG(1+E6))</f>
        <v>110.40962404966885</v>
      </c>
    </row>
    <row r="9" spans="3:5">
      <c r="C9" s="227"/>
      <c r="D9" s="195"/>
      <c r="E9" s="225"/>
    </row>
    <row r="13" spans="3:5">
      <c r="C13" s="317" t="s">
        <v>107</v>
      </c>
      <c r="D13" s="312"/>
      <c r="E13" s="318"/>
    </row>
    <row r="14" spans="3:5">
      <c r="C14" s="228"/>
      <c r="D14" s="229"/>
      <c r="E14" s="230"/>
    </row>
    <row r="15" spans="3:5">
      <c r="C15" s="211" t="s">
        <v>33</v>
      </c>
      <c r="D15" s="207" t="s">
        <v>70</v>
      </c>
      <c r="E15" s="206">
        <v>3000</v>
      </c>
    </row>
    <row r="16" spans="3:5">
      <c r="C16" s="212" t="s">
        <v>9</v>
      </c>
      <c r="D16" s="4" t="s">
        <v>11</v>
      </c>
      <c r="E16" s="208">
        <v>1000</v>
      </c>
    </row>
    <row r="17" spans="3:5">
      <c r="C17" s="212" t="s">
        <v>10</v>
      </c>
      <c r="D17" s="4" t="s">
        <v>12</v>
      </c>
      <c r="E17" s="209">
        <f>0.8/12</f>
        <v>6.6666666666666666E-2</v>
      </c>
    </row>
    <row r="18" spans="3:5">
      <c r="C18" s="231"/>
      <c r="D18" s="22" t="s">
        <v>13</v>
      </c>
      <c r="E18" s="210" t="s">
        <v>104</v>
      </c>
    </row>
    <row r="19" spans="3:5">
      <c r="C19" s="231"/>
      <c r="D19" s="213" t="s">
        <v>102</v>
      </c>
      <c r="E19" s="217">
        <f>(LOG(E15/E16))/(LOG(1+E17))</f>
        <v>17.022582316788654</v>
      </c>
    </row>
    <row r="20" spans="3:5">
      <c r="C20" s="232"/>
      <c r="D20" s="229"/>
      <c r="E20" s="230"/>
    </row>
    <row r="23" spans="3:5">
      <c r="C23" s="317" t="s">
        <v>108</v>
      </c>
      <c r="D23" s="312"/>
      <c r="E23" s="318"/>
    </row>
    <row r="24" spans="3:5">
      <c r="C24" s="82"/>
      <c r="D24" s="83"/>
      <c r="E24" s="84"/>
    </row>
    <row r="25" spans="3:5">
      <c r="C25" s="211" t="s">
        <v>33</v>
      </c>
      <c r="D25" s="207" t="s">
        <v>70</v>
      </c>
      <c r="E25" s="206">
        <v>1</v>
      </c>
    </row>
    <row r="26" spans="3:5">
      <c r="C26" s="212" t="s">
        <v>9</v>
      </c>
      <c r="D26" s="4" t="s">
        <v>11</v>
      </c>
      <c r="E26" s="222">
        <f>E25*0.6</f>
        <v>0.6</v>
      </c>
    </row>
    <row r="27" spans="3:5">
      <c r="C27" s="212" t="s">
        <v>10</v>
      </c>
      <c r="D27" s="4" t="s">
        <v>12</v>
      </c>
      <c r="E27" s="209">
        <f>E26</f>
        <v>0.6</v>
      </c>
    </row>
    <row r="28" spans="3:5">
      <c r="C28" s="215"/>
      <c r="D28" s="22" t="s">
        <v>13</v>
      </c>
      <c r="E28" s="210" t="s">
        <v>104</v>
      </c>
    </row>
    <row r="29" spans="3:5">
      <c r="C29" s="215"/>
      <c r="D29" s="213" t="s">
        <v>102</v>
      </c>
      <c r="E29" s="214">
        <f>(LOG(E25/E26))/(LOG(1+E27))</f>
        <v>1.086854636815819</v>
      </c>
    </row>
    <row r="30" spans="3:5">
      <c r="C30" s="216"/>
      <c r="D30" s="83"/>
      <c r="E30" s="84"/>
    </row>
    <row r="32" spans="3:5">
      <c r="C32" s="317" t="s">
        <v>110</v>
      </c>
      <c r="D32" s="312"/>
      <c r="E32" s="318"/>
    </row>
    <row r="33" spans="3:5">
      <c r="C33" s="12"/>
      <c r="D33" s="13"/>
      <c r="E33" s="14"/>
    </row>
    <row r="34" spans="3:5">
      <c r="C34" s="211" t="s">
        <v>33</v>
      </c>
      <c r="D34" s="207" t="s">
        <v>70</v>
      </c>
      <c r="E34" s="206">
        <v>1</v>
      </c>
    </row>
    <row r="35" spans="3:5">
      <c r="C35" s="212" t="s">
        <v>9</v>
      </c>
      <c r="D35" s="4" t="s">
        <v>11</v>
      </c>
      <c r="E35" s="222">
        <f>E34*0.6</f>
        <v>0.6</v>
      </c>
    </row>
    <row r="36" spans="3:5">
      <c r="C36" s="212" t="s">
        <v>10</v>
      </c>
      <c r="D36" s="4" t="s">
        <v>12</v>
      </c>
      <c r="E36" s="209">
        <f>30%</f>
        <v>0.3</v>
      </c>
    </row>
    <row r="37" spans="3:5">
      <c r="C37" s="233"/>
      <c r="D37" s="22" t="s">
        <v>13</v>
      </c>
      <c r="E37" s="210" t="s">
        <v>104</v>
      </c>
    </row>
    <row r="38" spans="3:5">
      <c r="C38" s="233"/>
      <c r="D38" s="213" t="s">
        <v>102</v>
      </c>
      <c r="E38" s="214">
        <f>(LOG(E34/E35))/(LOG(1+E36))</f>
        <v>1.9470091508185783</v>
      </c>
    </row>
    <row r="39" spans="3:5">
      <c r="C39" s="234"/>
      <c r="D39" s="13"/>
      <c r="E39" s="14"/>
    </row>
    <row r="42" spans="3:5">
      <c r="C42" s="317" t="s">
        <v>111</v>
      </c>
      <c r="D42" s="312"/>
      <c r="E42" s="318"/>
    </row>
    <row r="43" spans="3:5">
      <c r="C43" s="235"/>
      <c r="D43" s="236"/>
      <c r="E43" s="237"/>
    </row>
    <row r="44" spans="3:5">
      <c r="C44" s="211" t="s">
        <v>33</v>
      </c>
      <c r="D44" s="207" t="s">
        <v>70</v>
      </c>
      <c r="E44" s="206">
        <v>1</v>
      </c>
    </row>
    <row r="45" spans="3:5">
      <c r="C45" s="212" t="s">
        <v>9</v>
      </c>
      <c r="D45" s="4" t="s">
        <v>11</v>
      </c>
      <c r="E45" s="222">
        <f>E44*0.6</f>
        <v>0.6</v>
      </c>
    </row>
    <row r="46" spans="3:5">
      <c r="C46" s="212" t="s">
        <v>10</v>
      </c>
      <c r="D46" s="4" t="s">
        <v>12</v>
      </c>
      <c r="E46" s="209">
        <f>30%</f>
        <v>0.3</v>
      </c>
    </row>
    <row r="47" spans="3:5">
      <c r="C47" s="238"/>
      <c r="D47" s="22" t="s">
        <v>13</v>
      </c>
      <c r="E47" s="210" t="s">
        <v>104</v>
      </c>
    </row>
    <row r="48" spans="3:5">
      <c r="C48" s="238"/>
      <c r="D48" s="213" t="s">
        <v>102</v>
      </c>
      <c r="E48" s="214">
        <f>(LOG(E44/E45))/(LOG(1+E46))</f>
        <v>1.9470091508185783</v>
      </c>
    </row>
    <row r="49" spans="3:5">
      <c r="C49" s="239"/>
      <c r="D49" s="236"/>
      <c r="E49" s="237"/>
    </row>
    <row r="52" spans="3:5">
      <c r="C52" s="317" t="s">
        <v>112</v>
      </c>
      <c r="D52" s="312"/>
      <c r="E52" s="318"/>
    </row>
    <row r="53" spans="3:5">
      <c r="C53" s="242"/>
      <c r="D53" s="243"/>
      <c r="E53" s="244"/>
    </row>
    <row r="54" spans="3:5">
      <c r="C54" s="211" t="s">
        <v>33</v>
      </c>
      <c r="D54" s="207" t="s">
        <v>70</v>
      </c>
      <c r="E54" s="206">
        <v>1</v>
      </c>
    </row>
    <row r="55" spans="3:5">
      <c r="C55" s="212" t="s">
        <v>9</v>
      </c>
      <c r="D55" s="4" t="s">
        <v>11</v>
      </c>
      <c r="E55" s="222">
        <f>E54*0.6</f>
        <v>0.6</v>
      </c>
    </row>
    <row r="56" spans="3:5">
      <c r="C56" s="212" t="s">
        <v>10</v>
      </c>
      <c r="D56" s="4" t="s">
        <v>12</v>
      </c>
      <c r="E56" s="209">
        <f>10%</f>
        <v>0.1</v>
      </c>
    </row>
    <row r="57" spans="3:5">
      <c r="C57" s="240"/>
      <c r="D57" s="22" t="s">
        <v>13</v>
      </c>
      <c r="E57" s="210" t="s">
        <v>104</v>
      </c>
    </row>
    <row r="58" spans="3:5">
      <c r="C58" s="240"/>
      <c r="D58" s="213" t="s">
        <v>102</v>
      </c>
      <c r="E58" s="214">
        <f>(LOG(E54/E55))/(LOG(1+E56))</f>
        <v>5.3596124235074702</v>
      </c>
    </row>
    <row r="59" spans="3:5">
      <c r="C59" s="241"/>
      <c r="D59" s="243"/>
      <c r="E59" s="244"/>
    </row>
    <row r="62" spans="3:5">
      <c r="C62" s="317" t="s">
        <v>113</v>
      </c>
      <c r="D62" s="312"/>
      <c r="E62" s="318"/>
    </row>
    <row r="63" spans="3:5">
      <c r="C63" s="245"/>
      <c r="D63" s="246"/>
      <c r="E63" s="247"/>
    </row>
    <row r="64" spans="3:5">
      <c r="C64" s="211" t="s">
        <v>33</v>
      </c>
      <c r="D64" s="207" t="s">
        <v>70</v>
      </c>
      <c r="E64" s="206">
        <v>1</v>
      </c>
    </row>
    <row r="65" spans="3:5">
      <c r="C65" s="212" t="s">
        <v>9</v>
      </c>
      <c r="D65" s="4" t="s">
        <v>11</v>
      </c>
      <c r="E65" s="222">
        <f>E64*0.6</f>
        <v>0.6</v>
      </c>
    </row>
    <row r="66" spans="3:5">
      <c r="C66" s="212" t="s">
        <v>10</v>
      </c>
      <c r="D66" s="4" t="s">
        <v>12</v>
      </c>
      <c r="E66" s="209">
        <f>12%</f>
        <v>0.12</v>
      </c>
    </row>
    <row r="67" spans="3:5">
      <c r="C67" s="248"/>
      <c r="D67" s="22" t="s">
        <v>13</v>
      </c>
      <c r="E67" s="210" t="s">
        <v>104</v>
      </c>
    </row>
    <row r="68" spans="3:5">
      <c r="C68" s="248"/>
      <c r="D68" s="213" t="s">
        <v>102</v>
      </c>
      <c r="E68" s="214">
        <f>(LOG(E64/E65))/(LOG(1+E66))</f>
        <v>4.5074697759193336</v>
      </c>
    </row>
    <row r="69" spans="3:5">
      <c r="C69" s="249"/>
      <c r="D69" s="246"/>
      <c r="E69" s="247"/>
    </row>
    <row r="72" spans="3:5">
      <c r="C72" s="317" t="s">
        <v>114</v>
      </c>
      <c r="D72" s="312"/>
      <c r="E72" s="318"/>
    </row>
    <row r="73" spans="3:5">
      <c r="C73" s="250"/>
      <c r="D73" s="251"/>
      <c r="E73" s="252"/>
    </row>
    <row r="74" spans="3:5">
      <c r="C74" s="211" t="s">
        <v>33</v>
      </c>
      <c r="D74" s="207" t="s">
        <v>70</v>
      </c>
      <c r="E74" s="206">
        <v>1</v>
      </c>
    </row>
    <row r="75" spans="3:5">
      <c r="C75" s="212" t="s">
        <v>9</v>
      </c>
      <c r="D75" s="4" t="s">
        <v>11</v>
      </c>
      <c r="E75" s="222">
        <f>E74*0.6</f>
        <v>0.6</v>
      </c>
    </row>
    <row r="76" spans="3:5">
      <c r="C76" s="212" t="s">
        <v>10</v>
      </c>
      <c r="D76" s="4" t="s">
        <v>12</v>
      </c>
      <c r="E76" s="209">
        <f>15%</f>
        <v>0.15</v>
      </c>
    </row>
    <row r="77" spans="3:5">
      <c r="C77" s="253"/>
      <c r="D77" s="22" t="s">
        <v>13</v>
      </c>
      <c r="E77" s="210" t="s">
        <v>104</v>
      </c>
    </row>
    <row r="78" spans="3:5">
      <c r="C78" s="253"/>
      <c r="D78" s="213" t="s">
        <v>102</v>
      </c>
      <c r="E78" s="214">
        <f>(LOG(E74/E75))/(LOG(1+E76))</f>
        <v>3.6549694078721191</v>
      </c>
    </row>
    <row r="79" spans="3:5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E9" sqref="E9"/>
    </sheetView>
  </sheetViews>
  <sheetFormatPr baseColWidth="10" defaultRowHeight="14.4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>
      <c r="C1" s="329" t="s">
        <v>115</v>
      </c>
      <c r="D1" s="330"/>
      <c r="E1" s="330"/>
      <c r="F1" s="330"/>
      <c r="G1" s="330"/>
      <c r="H1" s="339"/>
    </row>
    <row r="2" spans="3:8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>
      <c r="C5" s="269"/>
      <c r="D5" s="4" t="s">
        <v>119</v>
      </c>
      <c r="E5" s="5" t="s">
        <v>104</v>
      </c>
      <c r="F5" s="269"/>
      <c r="G5" s="269"/>
      <c r="H5" s="265"/>
    </row>
    <row r="6" spans="3:8">
      <c r="C6" s="270"/>
      <c r="D6" s="340" t="s">
        <v>116</v>
      </c>
      <c r="E6" s="341"/>
      <c r="F6" s="262" t="s">
        <v>117</v>
      </c>
      <c r="G6" s="262" t="s">
        <v>15</v>
      </c>
      <c r="H6" s="5" t="s">
        <v>118</v>
      </c>
    </row>
    <row r="7" spans="3:8">
      <c r="C7" s="266"/>
      <c r="D7" s="267"/>
      <c r="E7" s="268"/>
      <c r="F7" s="270"/>
      <c r="G7" s="270"/>
      <c r="H7" s="268"/>
    </row>
    <row r="8" spans="3:8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topLeftCell="A38" zoomScale="85" zoomScaleNormal="85" workbookViewId="0">
      <selection activeCell="B59" sqref="B59:H66"/>
    </sheetView>
  </sheetViews>
  <sheetFormatPr baseColWidth="10" defaultRowHeight="14.4"/>
  <cols>
    <col min="5" max="5" width="19.77734375" customWidth="1"/>
    <col min="6" max="6" width="14.33203125" customWidth="1"/>
    <col min="8" max="8" width="13.44140625" customWidth="1"/>
  </cols>
  <sheetData>
    <row r="24" spans="3:8">
      <c r="C24" s="316" t="s">
        <v>120</v>
      </c>
      <c r="D24" s="316"/>
      <c r="E24" s="316"/>
      <c r="F24" s="316"/>
    </row>
    <row r="26" spans="3:8">
      <c r="C26" s="316"/>
      <c r="D26" s="316"/>
      <c r="E26" s="316"/>
      <c r="F26" s="316"/>
    </row>
    <row r="27" spans="3:8">
      <c r="C27" s="147" t="s">
        <v>33</v>
      </c>
      <c r="D27" s="4" t="s">
        <v>70</v>
      </c>
      <c r="E27" s="48">
        <v>60000</v>
      </c>
    </row>
    <row r="28" spans="3:8">
      <c r="C28" s="262" t="s">
        <v>9</v>
      </c>
      <c r="D28" s="4" t="s">
        <v>11</v>
      </c>
      <c r="E28" s="48">
        <v>10000</v>
      </c>
    </row>
    <row r="29" spans="3:8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>
      <c r="C30" s="269"/>
      <c r="D30" s="4" t="s">
        <v>119</v>
      </c>
      <c r="E30" t="s">
        <v>104</v>
      </c>
    </row>
    <row r="31" spans="3:8">
      <c r="C31" s="270"/>
      <c r="D31" s="340" t="s">
        <v>116</v>
      </c>
      <c r="E31" s="342"/>
      <c r="F31" s="262" t="s">
        <v>117</v>
      </c>
      <c r="G31" s="262" t="s">
        <v>15</v>
      </c>
      <c r="H31" s="5" t="s">
        <v>126</v>
      </c>
    </row>
    <row r="33" spans="4:8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>
      <c r="D36" s="316"/>
      <c r="E36" s="316"/>
      <c r="F36" s="316"/>
    </row>
    <row r="59" spans="3:8">
      <c r="C59" s="329" t="s">
        <v>115</v>
      </c>
      <c r="D59" s="330"/>
      <c r="E59" s="330"/>
      <c r="F59" s="330"/>
      <c r="G59" s="330"/>
      <c r="H59" s="339"/>
    </row>
    <row r="60" spans="3:8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>
      <c r="C63" s="269"/>
      <c r="D63" s="4" t="s">
        <v>119</v>
      </c>
      <c r="E63" s="5" t="s">
        <v>104</v>
      </c>
      <c r="F63" s="269"/>
      <c r="G63" s="269"/>
      <c r="H63" s="265"/>
    </row>
    <row r="64" spans="3:8">
      <c r="C64" s="270"/>
      <c r="D64" s="340" t="s">
        <v>116</v>
      </c>
      <c r="E64" s="341"/>
      <c r="F64" s="262" t="s">
        <v>117</v>
      </c>
      <c r="G64" s="262" t="s">
        <v>125</v>
      </c>
      <c r="H64" s="5" t="s">
        <v>15</v>
      </c>
    </row>
    <row r="65" spans="3:8">
      <c r="C65" s="266"/>
      <c r="D65" s="267"/>
      <c r="E65" s="268"/>
      <c r="F65" s="270"/>
      <c r="G65" s="270"/>
      <c r="H65" s="268"/>
    </row>
    <row r="66" spans="3:8">
      <c r="C66" s="8"/>
      <c r="D66" s="50" t="s">
        <v>12</v>
      </c>
      <c r="E66" s="259">
        <f>RATE(E62,,-E61,E60)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K19" sqref="K19"/>
    </sheetView>
  </sheetViews>
  <sheetFormatPr baseColWidth="10" defaultRowHeight="14.4"/>
  <cols>
    <col min="11" max="11" width="15.6640625" bestFit="1" customWidth="1"/>
    <col min="12" max="12" width="18" customWidth="1"/>
  </cols>
  <sheetData>
    <row r="1" spans="3:12">
      <c r="C1" s="316" t="s">
        <v>121</v>
      </c>
      <c r="D1" s="316"/>
      <c r="E1" s="316"/>
      <c r="F1" s="316"/>
      <c r="G1" s="316"/>
      <c r="H1" s="316"/>
      <c r="I1" s="316"/>
      <c r="J1" s="316"/>
      <c r="K1" s="316"/>
    </row>
    <row r="3" spans="3:12">
      <c r="C3" t="s">
        <v>122</v>
      </c>
    </row>
    <row r="6" spans="3:12">
      <c r="I6" s="316" t="s">
        <v>57</v>
      </c>
      <c r="J6" s="316"/>
      <c r="K6" s="316"/>
    </row>
    <row r="7" spans="3:12">
      <c r="I7" t="s">
        <v>123</v>
      </c>
      <c r="J7" t="s">
        <v>124</v>
      </c>
      <c r="K7" s="271">
        <v>100000</v>
      </c>
    </row>
    <row r="8" spans="3:12">
      <c r="I8" t="s">
        <v>32</v>
      </c>
      <c r="J8" t="s">
        <v>12</v>
      </c>
      <c r="K8" s="272">
        <f>36%/12</f>
        <v>0.03</v>
      </c>
    </row>
    <row r="9" spans="3:12">
      <c r="J9" t="s">
        <v>13</v>
      </c>
      <c r="K9">
        <v>6</v>
      </c>
    </row>
    <row r="11" spans="3:12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topLeftCell="A16" zoomScale="85" zoomScaleNormal="85" workbookViewId="0">
      <selection activeCell="F39" sqref="F39"/>
    </sheetView>
  </sheetViews>
  <sheetFormatPr baseColWidth="10" defaultRowHeight="14.4"/>
  <cols>
    <col min="4" max="4" width="18.109375" customWidth="1"/>
    <col min="5" max="5" width="16.109375" customWidth="1"/>
  </cols>
  <sheetData>
    <row r="1" spans="2:5">
      <c r="C1" s="316" t="s">
        <v>127</v>
      </c>
      <c r="D1" s="316"/>
      <c r="E1" s="316"/>
    </row>
    <row r="12" spans="2:5">
      <c r="B12" s="52"/>
      <c r="C12" s="330" t="s">
        <v>128</v>
      </c>
      <c r="D12" s="330"/>
      <c r="E12" s="260"/>
    </row>
    <row r="13" spans="2:5">
      <c r="B13" s="147" t="s">
        <v>123</v>
      </c>
      <c r="C13" s="4" t="s">
        <v>124</v>
      </c>
      <c r="D13" s="274">
        <v>15000</v>
      </c>
      <c r="E13" s="5"/>
    </row>
    <row r="14" spans="2:5">
      <c r="B14" s="148" t="s">
        <v>32</v>
      </c>
      <c r="C14" s="4" t="s">
        <v>12</v>
      </c>
      <c r="D14" s="275">
        <f>24%/12</f>
        <v>0.02</v>
      </c>
      <c r="E14" s="5"/>
    </row>
    <row r="15" spans="2:5">
      <c r="B15" s="262"/>
      <c r="C15" s="4" t="s">
        <v>13</v>
      </c>
      <c r="D15" s="5">
        <v>9</v>
      </c>
      <c r="E15" s="5"/>
    </row>
    <row r="16" spans="2:5">
      <c r="B16" s="262"/>
      <c r="C16" s="4"/>
      <c r="D16" s="5"/>
      <c r="E16" s="5"/>
    </row>
    <row r="17" spans="2:5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>
      <c r="B36" s="52"/>
      <c r="C36" s="330" t="s">
        <v>107</v>
      </c>
      <c r="D36" s="330"/>
      <c r="E36" s="260"/>
    </row>
    <row r="37" spans="2:5">
      <c r="B37" s="147" t="s">
        <v>123</v>
      </c>
      <c r="C37" s="4" t="s">
        <v>124</v>
      </c>
      <c r="D37" s="274">
        <v>8000</v>
      </c>
      <c r="E37" s="5"/>
    </row>
    <row r="38" spans="2:5">
      <c r="B38" s="148" t="s">
        <v>32</v>
      </c>
      <c r="C38" s="4" t="s">
        <v>12</v>
      </c>
      <c r="D38" s="275">
        <f>12%/12</f>
        <v>0.01</v>
      </c>
      <c r="E38" s="5"/>
    </row>
    <row r="39" spans="2:5">
      <c r="B39" s="262"/>
      <c r="C39" s="4" t="s">
        <v>13</v>
      </c>
      <c r="D39" s="5">
        <v>12</v>
      </c>
      <c r="E39" s="5"/>
    </row>
    <row r="40" spans="2:5">
      <c r="B40" s="262"/>
      <c r="C40" s="4"/>
      <c r="D40" s="5"/>
      <c r="E40" s="5"/>
    </row>
    <row r="41" spans="2:5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opLeftCell="A40" zoomScale="70" zoomScaleNormal="70" workbookViewId="0">
      <selection activeCell="F66" sqref="F66"/>
    </sheetView>
  </sheetViews>
  <sheetFormatPr baseColWidth="10" defaultRowHeight="14.4"/>
  <cols>
    <col min="3" max="3" width="20.44140625" customWidth="1"/>
    <col min="4" max="4" width="17.44140625" customWidth="1"/>
    <col min="5" max="5" width="23" customWidth="1"/>
    <col min="6" max="6" width="25.77734375" customWidth="1"/>
    <col min="7" max="7" width="29.77734375" customWidth="1"/>
  </cols>
  <sheetData>
    <row r="1" spans="2:7">
      <c r="B1" s="316" t="s">
        <v>129</v>
      </c>
      <c r="C1" s="316"/>
      <c r="D1" s="316"/>
      <c r="E1" s="316"/>
      <c r="F1" s="316"/>
      <c r="G1" s="316"/>
    </row>
    <row r="4" spans="2:7">
      <c r="B4" s="313" t="s">
        <v>120</v>
      </c>
      <c r="C4" s="314"/>
      <c r="D4" s="315"/>
    </row>
    <row r="5" spans="2:7">
      <c r="B5" s="276"/>
      <c r="C5" s="43"/>
      <c r="D5" s="44"/>
    </row>
    <row r="6" spans="2:7">
      <c r="B6" s="86" t="s">
        <v>11</v>
      </c>
      <c r="C6" s="89">
        <v>15000</v>
      </c>
      <c r="D6" s="85"/>
    </row>
    <row r="7" spans="2:7">
      <c r="B7" s="34" t="s">
        <v>12</v>
      </c>
      <c r="C7" s="280">
        <f>18%/3</f>
        <v>0.06</v>
      </c>
      <c r="D7" s="88">
        <v>0.18</v>
      </c>
    </row>
    <row r="8" spans="2:7">
      <c r="B8" s="92" t="s">
        <v>13</v>
      </c>
      <c r="C8" s="90">
        <f>9/4</f>
        <v>2.25</v>
      </c>
      <c r="D8" s="201"/>
    </row>
    <row r="9" spans="2:7">
      <c r="B9" s="42"/>
      <c r="C9" s="44"/>
      <c r="D9" s="201"/>
    </row>
    <row r="10" spans="2:7">
      <c r="B10" s="21" t="s">
        <v>49</v>
      </c>
      <c r="C10" s="91">
        <f>FV(C7,C8,,-C6)</f>
        <v>17101.313003326584</v>
      </c>
      <c r="D10" s="44"/>
    </row>
    <row r="13" spans="2:7">
      <c r="B13" s="321" t="s">
        <v>50</v>
      </c>
      <c r="C13" s="322"/>
      <c r="D13" s="322"/>
      <c r="E13" s="322"/>
      <c r="F13" s="323"/>
    </row>
    <row r="14" spans="2:7">
      <c r="B14" s="135"/>
      <c r="C14" s="136"/>
      <c r="D14" s="137"/>
      <c r="E14" s="130"/>
      <c r="F14" s="131"/>
    </row>
    <row r="15" spans="2:7">
      <c r="B15" s="142" t="s">
        <v>76</v>
      </c>
      <c r="C15" s="141"/>
      <c r="D15" s="118">
        <v>600000</v>
      </c>
      <c r="E15" s="130"/>
      <c r="F15" s="132"/>
    </row>
    <row r="16" spans="2:7">
      <c r="B16" s="142" t="s">
        <v>75</v>
      </c>
      <c r="C16" s="141"/>
      <c r="D16" s="118">
        <f>D15*0.3</f>
        <v>180000</v>
      </c>
      <c r="E16" s="130"/>
      <c r="F16" s="132"/>
    </row>
    <row r="17" spans="2:6">
      <c r="B17" s="107" t="s">
        <v>33</v>
      </c>
      <c r="C17" s="21" t="s">
        <v>70</v>
      </c>
      <c r="D17" s="118">
        <f>D15-D16</f>
        <v>420000</v>
      </c>
      <c r="E17" s="130" t="s">
        <v>72</v>
      </c>
      <c r="F17" s="132"/>
    </row>
    <row r="18" spans="2:6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>
      <c r="B19" s="138"/>
      <c r="C19" s="119" t="s">
        <v>13</v>
      </c>
      <c r="D19" s="108">
        <f>5*12</f>
        <v>60</v>
      </c>
      <c r="E19" s="319" t="s">
        <v>74</v>
      </c>
      <c r="F19" s="320"/>
    </row>
    <row r="20" spans="2:6">
      <c r="B20" s="139"/>
      <c r="C20" s="22"/>
      <c r="D20" s="90"/>
      <c r="E20" s="140"/>
      <c r="F20" s="134"/>
    </row>
    <row r="21" spans="2:6">
      <c r="B21" s="39"/>
      <c r="C21" s="22" t="s">
        <v>49</v>
      </c>
      <c r="D21" s="129">
        <f>D17/((1+D18)^D19)</f>
        <v>199318.39307882739</v>
      </c>
      <c r="E21" s="117">
        <f>PV(D18,D19,,-D17)</f>
        <v>199318.39307882739</v>
      </c>
      <c r="F21" s="103"/>
    </row>
    <row r="25" spans="2:6">
      <c r="B25" s="169"/>
      <c r="C25" s="314" t="s">
        <v>108</v>
      </c>
      <c r="D25" s="314"/>
      <c r="E25" s="314"/>
      <c r="F25" s="170"/>
    </row>
    <row r="26" spans="2:6">
      <c r="B26" s="21"/>
      <c r="C26" s="22"/>
      <c r="D26" s="22"/>
      <c r="E26" s="22"/>
      <c r="F26" s="103"/>
    </row>
    <row r="27" spans="2:6">
      <c r="B27" s="109" t="s">
        <v>33</v>
      </c>
      <c r="C27" s="4" t="s">
        <v>70</v>
      </c>
      <c r="D27" s="6">
        <v>150000</v>
      </c>
      <c r="E27" s="6">
        <v>210000</v>
      </c>
      <c r="F27" s="172">
        <v>270000</v>
      </c>
    </row>
    <row r="28" spans="2:6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>
      <c r="B30" s="110"/>
      <c r="C30" s="34"/>
      <c r="D30" s="38"/>
      <c r="E30" s="38"/>
      <c r="F30" s="108"/>
    </row>
    <row r="31" spans="2:6">
      <c r="B31" s="110"/>
      <c r="C31" s="21" t="s">
        <v>9</v>
      </c>
      <c r="D31" s="174">
        <f>D27/((1+D28)^D29)</f>
        <v>136363.63636363635</v>
      </c>
      <c r="E31" s="174">
        <f>E27/((1+E28)^E29)</f>
        <v>173553.71900826442</v>
      </c>
      <c r="F31" s="175">
        <f>F27/((1+F28)^F29)</f>
        <v>202854.99624342594</v>
      </c>
    </row>
    <row r="32" spans="2:6">
      <c r="B32" s="107"/>
      <c r="C32" s="22"/>
      <c r="D32" s="22"/>
      <c r="E32" s="22"/>
      <c r="F32" s="103"/>
    </row>
    <row r="33" spans="2:6">
      <c r="C33" s="169"/>
      <c r="D33" s="176"/>
      <c r="E33" s="176"/>
      <c r="F33" s="170"/>
    </row>
    <row r="34" spans="2:6">
      <c r="C34" s="333" t="s">
        <v>86</v>
      </c>
      <c r="D34" s="334"/>
      <c r="E34" s="6">
        <f>D31+E31+F31</f>
        <v>512772.35161532671</v>
      </c>
      <c r="F34" s="85"/>
    </row>
    <row r="35" spans="2:6">
      <c r="C35" s="333" t="s">
        <v>91</v>
      </c>
      <c r="D35" s="334"/>
      <c r="E35" s="6">
        <v>380000</v>
      </c>
      <c r="F35" s="85"/>
    </row>
    <row r="36" spans="2:6">
      <c r="C36" s="324" t="s">
        <v>88</v>
      </c>
      <c r="D36" s="325"/>
      <c r="E36" s="6">
        <f>E34-E35</f>
        <v>132772.35161532671</v>
      </c>
      <c r="F36" s="335" t="s">
        <v>130</v>
      </c>
    </row>
    <row r="37" spans="2:6">
      <c r="C37" s="326"/>
      <c r="D37" s="327"/>
      <c r="E37" s="4"/>
      <c r="F37" s="335"/>
    </row>
    <row r="38" spans="2:6">
      <c r="C38" s="21"/>
      <c r="D38" s="22"/>
      <c r="E38" s="22"/>
      <c r="F38" s="103"/>
    </row>
    <row r="42" spans="2:6">
      <c r="B42" s="317" t="s">
        <v>131</v>
      </c>
      <c r="C42" s="312"/>
      <c r="D42" s="318"/>
    </row>
    <row r="43" spans="2:6">
      <c r="B43" s="82"/>
      <c r="C43" s="83"/>
      <c r="D43" s="84"/>
    </row>
    <row r="44" spans="2:6">
      <c r="B44" s="211" t="s">
        <v>33</v>
      </c>
      <c r="C44" s="207" t="s">
        <v>70</v>
      </c>
      <c r="D44" s="206">
        <v>1</v>
      </c>
    </row>
    <row r="45" spans="2:6">
      <c r="B45" s="212" t="s">
        <v>9</v>
      </c>
      <c r="C45" s="4" t="s">
        <v>11</v>
      </c>
      <c r="D45" s="222">
        <f>D44*0.7</f>
        <v>0.7</v>
      </c>
    </row>
    <row r="46" spans="2:6">
      <c r="B46" s="212" t="s">
        <v>10</v>
      </c>
      <c r="C46" s="4" t="s">
        <v>12</v>
      </c>
      <c r="D46" s="209">
        <f>D45</f>
        <v>0.7</v>
      </c>
    </row>
    <row r="47" spans="2:6">
      <c r="B47" s="215"/>
      <c r="C47" s="22" t="s">
        <v>13</v>
      </c>
      <c r="D47" s="210" t="s">
        <v>104</v>
      </c>
    </row>
    <row r="48" spans="2:6">
      <c r="B48" s="215"/>
      <c r="C48" s="213" t="s">
        <v>102</v>
      </c>
      <c r="D48" s="214">
        <f>(LOG(D44/D45))/(LOG(1+D46))</f>
        <v>0.67217481018918279</v>
      </c>
    </row>
    <row r="49" spans="2:4">
      <c r="B49" s="216"/>
      <c r="C49" s="83"/>
      <c r="D49" s="84"/>
    </row>
    <row r="52" spans="2:4">
      <c r="B52" s="317" t="s">
        <v>132</v>
      </c>
      <c r="C52" s="312"/>
      <c r="D52" s="318"/>
    </row>
    <row r="53" spans="2:4">
      <c r="B53" s="79"/>
      <c r="C53" s="220"/>
      <c r="D53" s="221"/>
    </row>
    <row r="54" spans="2:4">
      <c r="B54" s="211" t="s">
        <v>33</v>
      </c>
      <c r="C54" s="207" t="s">
        <v>70</v>
      </c>
      <c r="D54" s="206">
        <v>1</v>
      </c>
    </row>
    <row r="55" spans="2:4">
      <c r="B55" s="212" t="s">
        <v>9</v>
      </c>
      <c r="C55" s="4" t="s">
        <v>11</v>
      </c>
      <c r="D55" s="222">
        <f>D54*0.7</f>
        <v>0.7</v>
      </c>
    </row>
    <row r="56" spans="2:4">
      <c r="B56" s="212" t="s">
        <v>10</v>
      </c>
      <c r="C56" s="4" t="s">
        <v>12</v>
      </c>
      <c r="D56" s="209">
        <f>0.14</f>
        <v>0.14000000000000001</v>
      </c>
    </row>
    <row r="57" spans="2:4">
      <c r="B57" s="218"/>
      <c r="C57" s="22" t="s">
        <v>13</v>
      </c>
      <c r="D57" s="210" t="s">
        <v>104</v>
      </c>
    </row>
    <row r="58" spans="2:4">
      <c r="B58" s="218"/>
      <c r="C58" s="213" t="s">
        <v>102</v>
      </c>
      <c r="D58" s="214">
        <f>(LOG(D54/D55))/(LOG(1+D56))</f>
        <v>2.7221222153770959</v>
      </c>
    </row>
    <row r="59" spans="2:4">
      <c r="B59" s="219"/>
      <c r="C59" s="220"/>
      <c r="D59" s="221"/>
    </row>
    <row r="62" spans="2:4">
      <c r="B62" s="317" t="s">
        <v>133</v>
      </c>
      <c r="C62" s="312"/>
      <c r="D62" s="318"/>
    </row>
    <row r="63" spans="2:4">
      <c r="B63" s="228"/>
      <c r="C63" s="229"/>
      <c r="D63" s="230"/>
    </row>
    <row r="64" spans="2:4">
      <c r="B64" s="211" t="s">
        <v>33</v>
      </c>
      <c r="C64" s="207" t="s">
        <v>70</v>
      </c>
      <c r="D64" s="206">
        <v>1</v>
      </c>
    </row>
    <row r="65" spans="2:4">
      <c r="B65" s="212" t="s">
        <v>9</v>
      </c>
      <c r="C65" s="4" t="s">
        <v>11</v>
      </c>
      <c r="D65" s="222">
        <f>D64*0.7</f>
        <v>0.7</v>
      </c>
    </row>
    <row r="66" spans="2:4">
      <c r="B66" s="212" t="s">
        <v>10</v>
      </c>
      <c r="C66" s="4" t="s">
        <v>12</v>
      </c>
      <c r="D66" s="209">
        <f>0.11</f>
        <v>0.11</v>
      </c>
    </row>
    <row r="67" spans="2:4">
      <c r="B67" s="231"/>
      <c r="C67" s="22" t="s">
        <v>13</v>
      </c>
      <c r="D67" s="210" t="s">
        <v>104</v>
      </c>
    </row>
    <row r="68" spans="2:4">
      <c r="B68" s="231"/>
      <c r="C68" s="213" t="s">
        <v>102</v>
      </c>
      <c r="D68" s="214">
        <f>(LOG(D64/D65))/(LOG(1+D66))</f>
        <v>3.417735641668469</v>
      </c>
    </row>
    <row r="69" spans="2:4">
      <c r="B69" s="232"/>
      <c r="C69" s="229"/>
      <c r="D69" s="230"/>
    </row>
    <row r="72" spans="2:4">
      <c r="B72" s="317" t="s">
        <v>134</v>
      </c>
      <c r="C72" s="312"/>
      <c r="D72" s="318"/>
    </row>
    <row r="73" spans="2:4">
      <c r="B73" s="156"/>
      <c r="C73" s="160"/>
      <c r="D73" s="279"/>
    </row>
    <row r="74" spans="2:4">
      <c r="B74" s="211" t="s">
        <v>33</v>
      </c>
      <c r="C74" s="207" t="s">
        <v>70</v>
      </c>
      <c r="D74" s="206">
        <v>1</v>
      </c>
    </row>
    <row r="75" spans="2:4">
      <c r="B75" s="212" t="s">
        <v>9</v>
      </c>
      <c r="C75" s="4" t="s">
        <v>11</v>
      </c>
      <c r="D75" s="222">
        <f>D74*0.7</f>
        <v>0.7</v>
      </c>
    </row>
    <row r="76" spans="2:4">
      <c r="B76" s="212" t="s">
        <v>10</v>
      </c>
      <c r="C76" s="4" t="s">
        <v>12</v>
      </c>
      <c r="D76" s="209">
        <f>0.1</f>
        <v>0.1</v>
      </c>
    </row>
    <row r="77" spans="2:4">
      <c r="B77" s="277"/>
      <c r="C77" s="22" t="s">
        <v>13</v>
      </c>
      <c r="D77" s="210" t="s">
        <v>104</v>
      </c>
    </row>
    <row r="78" spans="2:4">
      <c r="B78" s="277"/>
      <c r="C78" s="213" t="s">
        <v>102</v>
      </c>
      <c r="D78" s="214">
        <f>(LOG(D74/D75))/(LOG(1+D76))</f>
        <v>3.7422544440793026</v>
      </c>
    </row>
    <row r="79" spans="2:4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BAECF-769D-491D-A9EE-533A527DD933}">
  <dimension ref="B26:U932"/>
  <sheetViews>
    <sheetView tabSelected="1" topLeftCell="A610" zoomScale="55" zoomScaleNormal="55" workbookViewId="0">
      <selection activeCell="G878" sqref="G878"/>
    </sheetView>
  </sheetViews>
  <sheetFormatPr baseColWidth="10" defaultRowHeight="14.4"/>
  <cols>
    <col min="4" max="4" width="25.44140625" customWidth="1"/>
    <col min="5" max="5" width="24" customWidth="1"/>
    <col min="6" max="6" width="28.6640625" customWidth="1"/>
    <col min="7" max="7" width="39.33203125" customWidth="1"/>
    <col min="11" max="11" width="29.77734375" customWidth="1"/>
  </cols>
  <sheetData>
    <row r="26" spans="2:7">
      <c r="B26" s="329" t="s">
        <v>115</v>
      </c>
      <c r="C26" s="330"/>
      <c r="D26" s="330"/>
      <c r="E26" s="330"/>
      <c r="F26" s="330"/>
      <c r="G26" s="339"/>
    </row>
    <row r="27" spans="2:7">
      <c r="B27" s="147" t="s">
        <v>33</v>
      </c>
      <c r="C27" s="4" t="s">
        <v>70</v>
      </c>
      <c r="D27" s="274">
        <v>40000</v>
      </c>
      <c r="E27" s="264"/>
      <c r="F27" s="264"/>
      <c r="G27" s="265"/>
    </row>
    <row r="28" spans="2:7">
      <c r="B28" s="262" t="s">
        <v>9</v>
      </c>
      <c r="C28" s="4" t="s">
        <v>11</v>
      </c>
      <c r="D28" s="274">
        <v>15000</v>
      </c>
      <c r="E28" s="266"/>
      <c r="F28" s="267"/>
      <c r="G28" s="268"/>
    </row>
    <row r="29" spans="2:7">
      <c r="B29" s="148" t="s">
        <v>32</v>
      </c>
      <c r="C29" s="4" t="s">
        <v>13</v>
      </c>
      <c r="D29" s="5">
        <v>5</v>
      </c>
      <c r="E29" s="261">
        <f>D29*3</f>
        <v>15</v>
      </c>
      <c r="F29" s="261">
        <f>D29*4</f>
        <v>20</v>
      </c>
      <c r="G29" s="260">
        <f>D29*12</f>
        <v>60</v>
      </c>
    </row>
    <row r="30" spans="2:7">
      <c r="B30" s="269"/>
      <c r="C30" s="4" t="s">
        <v>12</v>
      </c>
      <c r="D30" s="5" t="s">
        <v>104</v>
      </c>
      <c r="E30" s="269"/>
      <c r="F30" s="269"/>
      <c r="G30" s="265"/>
    </row>
    <row r="31" spans="2:7">
      <c r="B31" s="270"/>
      <c r="C31" s="340" t="s">
        <v>116</v>
      </c>
      <c r="D31" s="341"/>
      <c r="E31" s="262" t="s">
        <v>135</v>
      </c>
      <c r="F31" s="262" t="s">
        <v>136</v>
      </c>
      <c r="G31" s="5" t="s">
        <v>118</v>
      </c>
    </row>
    <row r="32" spans="2:7">
      <c r="B32" s="266"/>
      <c r="C32" s="267"/>
      <c r="D32" s="268"/>
      <c r="E32" s="270"/>
      <c r="F32" s="270"/>
      <c r="G32" s="268"/>
    </row>
    <row r="33" spans="2:7">
      <c r="B33" s="8"/>
      <c r="C33" s="50" t="s">
        <v>12</v>
      </c>
      <c r="D33" s="259">
        <f>RATE(D29,,-$D$28,$D$27)</f>
        <v>0.21672868378640714</v>
      </c>
      <c r="E33" s="259">
        <f>RATE(E29,,-$D$28,$D$27)</f>
        <v>6.7573820974573873E-2</v>
      </c>
      <c r="F33" s="259">
        <f>RATE(F29,,-$D$28,$D$27)</f>
        <v>5.0263896562226518E-2</v>
      </c>
      <c r="G33" s="259">
        <f>RATE(G29,,-$D$28,$D$27)</f>
        <v>1.6481500001101948E-2</v>
      </c>
    </row>
    <row r="61" spans="2:7">
      <c r="B61" s="329" t="s">
        <v>115</v>
      </c>
      <c r="C61" s="330"/>
      <c r="D61" s="330"/>
      <c r="E61" s="330"/>
      <c r="F61" s="330"/>
      <c r="G61" s="339"/>
    </row>
    <row r="62" spans="2:7">
      <c r="B62" s="147" t="s">
        <v>33</v>
      </c>
      <c r="C62" s="4" t="s">
        <v>70</v>
      </c>
      <c r="D62" s="274">
        <v>20000</v>
      </c>
      <c r="E62" s="130"/>
      <c r="F62" s="130"/>
      <c r="G62" s="287"/>
    </row>
    <row r="63" spans="2:7">
      <c r="B63" s="262" t="s">
        <v>9</v>
      </c>
      <c r="C63" s="4" t="s">
        <v>11</v>
      </c>
      <c r="D63" s="274">
        <v>10000</v>
      </c>
      <c r="E63" s="228"/>
      <c r="F63" s="229"/>
      <c r="G63" s="230"/>
    </row>
    <row r="64" spans="2:7">
      <c r="B64" s="148" t="s">
        <v>32</v>
      </c>
      <c r="C64" s="4" t="s">
        <v>13</v>
      </c>
      <c r="D64" s="5">
        <v>3</v>
      </c>
      <c r="E64" s="261">
        <f>D64*2</f>
        <v>6</v>
      </c>
      <c r="F64" s="261">
        <f>D64*6</f>
        <v>18</v>
      </c>
      <c r="G64" s="260">
        <f>D64*12</f>
        <v>36</v>
      </c>
    </row>
    <row r="65" spans="2:7">
      <c r="B65" s="288"/>
      <c r="C65" s="4" t="s">
        <v>12</v>
      </c>
      <c r="D65" s="5"/>
      <c r="E65" s="288"/>
      <c r="F65" s="288"/>
      <c r="G65" s="287"/>
    </row>
    <row r="66" spans="2:7">
      <c r="B66" s="289"/>
      <c r="C66" s="340" t="s">
        <v>116</v>
      </c>
      <c r="D66" s="341"/>
      <c r="E66" s="262" t="s">
        <v>137</v>
      </c>
      <c r="F66" s="262" t="s">
        <v>138</v>
      </c>
      <c r="G66" s="5" t="s">
        <v>118</v>
      </c>
    </row>
    <row r="67" spans="2:7">
      <c r="B67" s="228"/>
      <c r="C67" s="229"/>
      <c r="D67" s="230"/>
      <c r="E67" s="289"/>
      <c r="F67" s="289"/>
      <c r="G67" s="230"/>
    </row>
    <row r="68" spans="2:7">
      <c r="B68" s="8"/>
      <c r="C68" s="50" t="s">
        <v>12</v>
      </c>
      <c r="D68" s="259">
        <f>RATE(D64,,-$D$63,$D$62)</f>
        <v>0.25992104989487314</v>
      </c>
      <c r="E68" s="259">
        <f>RATE(E64,,-$D$63,$D$62)</f>
        <v>0.12246204830937296</v>
      </c>
      <c r="F68" s="259">
        <f>RATE(F64,,-$D$63,$D$62)</f>
        <v>3.9259226031851724E-2</v>
      </c>
      <c r="G68" s="259">
        <f>RATE(G64,,-$D$63,$D$62)</f>
        <v>1.9440643702145096E-2</v>
      </c>
    </row>
    <row r="94" spans="2:5">
      <c r="B94" s="52"/>
      <c r="C94" s="330" t="s">
        <v>107</v>
      </c>
      <c r="D94" s="330"/>
      <c r="E94" s="260"/>
    </row>
    <row r="95" spans="2:5">
      <c r="B95" s="147" t="s">
        <v>123</v>
      </c>
      <c r="C95" s="4" t="s">
        <v>124</v>
      </c>
      <c r="D95" s="274">
        <v>2000</v>
      </c>
      <c r="E95" s="5"/>
    </row>
    <row r="96" spans="2:5">
      <c r="B96" s="148" t="s">
        <v>32</v>
      </c>
      <c r="C96" s="4" t="s">
        <v>12</v>
      </c>
      <c r="D96" s="275">
        <f>10%/12</f>
        <v>8.3333333333333332E-3</v>
      </c>
      <c r="E96" s="5"/>
    </row>
    <row r="97" spans="2:5">
      <c r="B97" s="262"/>
      <c r="C97" s="4" t="s">
        <v>13</v>
      </c>
      <c r="D97" s="5">
        <v>24</v>
      </c>
      <c r="E97" s="5"/>
    </row>
    <row r="98" spans="2:5">
      <c r="B98" s="262"/>
      <c r="C98" s="4"/>
      <c r="D98" s="5"/>
      <c r="E98" s="5"/>
    </row>
    <row r="99" spans="2:5">
      <c r="B99" s="148"/>
      <c r="C99" s="50" t="s">
        <v>49</v>
      </c>
      <c r="D99" s="273">
        <f>FV(D96,D97,-D95)</f>
        <v>52893.83073013417</v>
      </c>
      <c r="E99" s="273">
        <f>D95*(((1+D96)^D97-1)/D96)</f>
        <v>52893.83073013417</v>
      </c>
    </row>
    <row r="129" spans="2:7">
      <c r="B129" s="329" t="s">
        <v>115</v>
      </c>
      <c r="C129" s="330"/>
      <c r="D129" s="330"/>
      <c r="E129" s="330"/>
      <c r="F129" s="330"/>
      <c r="G129" s="339"/>
    </row>
    <row r="130" spans="2:7">
      <c r="B130" s="147" t="s">
        <v>33</v>
      </c>
      <c r="C130" s="4" t="s">
        <v>70</v>
      </c>
      <c r="D130" s="274">
        <v>8000</v>
      </c>
      <c r="E130" s="120"/>
      <c r="F130" s="120"/>
      <c r="G130" s="285"/>
    </row>
    <row r="131" spans="2:7">
      <c r="B131" s="262" t="s">
        <v>9</v>
      </c>
      <c r="C131" s="4" t="s">
        <v>11</v>
      </c>
      <c r="D131" s="274">
        <v>5000</v>
      </c>
      <c r="E131" s="79"/>
      <c r="F131" s="220"/>
      <c r="G131" s="221"/>
    </row>
    <row r="132" spans="2:7">
      <c r="B132" s="148" t="s">
        <v>32</v>
      </c>
      <c r="C132" s="4" t="s">
        <v>13</v>
      </c>
      <c r="D132" s="5">
        <v>1</v>
      </c>
      <c r="E132" s="261">
        <f>D132*2</f>
        <v>2</v>
      </c>
      <c r="F132" s="261">
        <f>D132*4</f>
        <v>4</v>
      </c>
      <c r="G132" s="260">
        <f>D132*6</f>
        <v>6</v>
      </c>
    </row>
    <row r="133" spans="2:7">
      <c r="B133" s="286"/>
      <c r="C133" s="4" t="s">
        <v>12</v>
      </c>
      <c r="D133" s="5" t="s">
        <v>104</v>
      </c>
      <c r="E133" s="286"/>
      <c r="F133" s="286"/>
      <c r="G133" s="285"/>
    </row>
    <row r="134" spans="2:7">
      <c r="B134" s="284"/>
      <c r="C134" s="340" t="s">
        <v>116</v>
      </c>
      <c r="D134" s="341"/>
      <c r="E134" s="262" t="s">
        <v>137</v>
      </c>
      <c r="F134" s="262" t="s">
        <v>136</v>
      </c>
      <c r="G134" s="5" t="s">
        <v>138</v>
      </c>
    </row>
    <row r="135" spans="2:7">
      <c r="B135" s="79"/>
      <c r="C135" s="220"/>
      <c r="D135" s="221"/>
      <c r="E135" s="284"/>
      <c r="F135" s="284"/>
      <c r="G135" s="221"/>
    </row>
    <row r="136" spans="2:7">
      <c r="B136" s="8"/>
      <c r="C136" s="50" t="s">
        <v>12</v>
      </c>
      <c r="D136" s="259">
        <f>RATE(D132,,-$D$131,$D$130)</f>
        <v>0.59999999999999987</v>
      </c>
      <c r="E136" s="259">
        <f>RATE(E132,,-$D$131,$D$130)</f>
        <v>0.26491106406734927</v>
      </c>
      <c r="F136" s="259">
        <f>RATE(F132,,-$D$131,$D$130)</f>
        <v>0.1246826503821632</v>
      </c>
      <c r="G136" s="259">
        <f>RATE(G132,,-$D$131,$D$130)</f>
        <v>8.1483747120199082E-2</v>
      </c>
    </row>
    <row r="173" spans="2:7">
      <c r="B173" s="329" t="s">
        <v>115</v>
      </c>
      <c r="C173" s="330"/>
      <c r="D173" s="330"/>
      <c r="E173" s="330"/>
      <c r="F173" s="330"/>
      <c r="G173" s="339"/>
    </row>
    <row r="174" spans="2:7">
      <c r="B174" s="147" t="s">
        <v>33</v>
      </c>
      <c r="C174" s="4" t="s">
        <v>70</v>
      </c>
      <c r="D174" s="274">
        <v>22000</v>
      </c>
      <c r="E174" s="194"/>
      <c r="F174" s="194"/>
      <c r="G174" s="281"/>
    </row>
    <row r="175" spans="2:7">
      <c r="B175" s="262" t="s">
        <v>9</v>
      </c>
      <c r="C175" s="4" t="s">
        <v>11</v>
      </c>
      <c r="D175" s="274">
        <v>8000</v>
      </c>
      <c r="E175" s="224"/>
      <c r="F175" s="195"/>
      <c r="G175" s="225"/>
    </row>
    <row r="176" spans="2:7">
      <c r="B176" s="148" t="s">
        <v>32</v>
      </c>
      <c r="C176" s="4" t="s">
        <v>13</v>
      </c>
      <c r="D176" s="5">
        <v>4</v>
      </c>
      <c r="E176" s="261">
        <f>D176*2</f>
        <v>8</v>
      </c>
      <c r="F176" s="261">
        <f>D176*4</f>
        <v>16</v>
      </c>
      <c r="G176" s="260">
        <f>D176*12</f>
        <v>48</v>
      </c>
    </row>
    <row r="177" spans="2:7">
      <c r="B177" s="282"/>
      <c r="C177" s="4" t="s">
        <v>12</v>
      </c>
      <c r="D177" s="5" t="s">
        <v>104</v>
      </c>
      <c r="E177" s="282"/>
      <c r="F177" s="282"/>
      <c r="G177" s="281"/>
    </row>
    <row r="178" spans="2:7">
      <c r="B178" s="283"/>
      <c r="C178" s="340" t="s">
        <v>116</v>
      </c>
      <c r="D178" s="341"/>
      <c r="E178" s="262" t="s">
        <v>137</v>
      </c>
      <c r="F178" s="262" t="s">
        <v>136</v>
      </c>
      <c r="G178" s="5" t="s">
        <v>139</v>
      </c>
    </row>
    <row r="179" spans="2:7">
      <c r="B179" s="224"/>
      <c r="C179" s="195"/>
      <c r="D179" s="225"/>
      <c r="E179" s="283"/>
      <c r="F179" s="283"/>
      <c r="G179" s="225"/>
    </row>
    <row r="180" spans="2:7">
      <c r="B180" s="8"/>
      <c r="C180" s="50" t="s">
        <v>12</v>
      </c>
      <c r="D180" s="259">
        <f>RATE(D176,,-$D$175,$D$174)</f>
        <v>0.28775478845054175</v>
      </c>
      <c r="E180" s="259">
        <f>RATE(E176,,-$D$175,$D$174)</f>
        <v>0.13479283944263534</v>
      </c>
      <c r="F180" s="259">
        <f>RATE(F176,,-$D$175,$D$174)</f>
        <v>6.5266557929435545E-2</v>
      </c>
      <c r="G180" s="259">
        <f>RATE(G176,,-$D$175,$D$174)</f>
        <v>2.1298665561499057E-2</v>
      </c>
    </row>
    <row r="183" spans="2:7">
      <c r="F183" t="s">
        <v>140</v>
      </c>
    </row>
    <row r="212" spans="2:8">
      <c r="B212" s="317" t="s">
        <v>141</v>
      </c>
      <c r="C212" s="312"/>
      <c r="D212" s="318"/>
      <c r="F212" s="317" t="s">
        <v>142</v>
      </c>
      <c r="G212" s="312"/>
      <c r="H212" s="318"/>
    </row>
    <row r="213" spans="2:8">
      <c r="B213" s="79"/>
      <c r="C213" s="220"/>
      <c r="D213" s="221"/>
      <c r="F213" s="79"/>
      <c r="G213" s="220"/>
      <c r="H213" s="221"/>
    </row>
    <row r="214" spans="2:8">
      <c r="B214" s="211" t="s">
        <v>33</v>
      </c>
      <c r="C214" s="207" t="s">
        <v>70</v>
      </c>
      <c r="D214" s="206">
        <v>1</v>
      </c>
      <c r="F214" s="211" t="s">
        <v>33</v>
      </c>
      <c r="G214" s="207" t="s">
        <v>70</v>
      </c>
      <c r="H214" s="206">
        <v>1</v>
      </c>
    </row>
    <row r="215" spans="2:8">
      <c r="B215" s="212" t="s">
        <v>9</v>
      </c>
      <c r="C215" s="4" t="s">
        <v>11</v>
      </c>
      <c r="D215" s="222">
        <f>D214*0.8</f>
        <v>0.8</v>
      </c>
      <c r="F215" s="212" t="s">
        <v>9</v>
      </c>
      <c r="G215" s="4" t="s">
        <v>11</v>
      </c>
      <c r="H215" s="222">
        <f>H214*0.8</f>
        <v>0.8</v>
      </c>
    </row>
    <row r="216" spans="2:8">
      <c r="B216" s="212" t="s">
        <v>10</v>
      </c>
      <c r="C216" s="4" t="s">
        <v>12</v>
      </c>
      <c r="D216" s="209">
        <f>20%</f>
        <v>0.2</v>
      </c>
      <c r="F216" s="212" t="s">
        <v>10</v>
      </c>
      <c r="G216" s="4" t="s">
        <v>12</v>
      </c>
      <c r="H216" s="209">
        <f>18%</f>
        <v>0.18</v>
      </c>
    </row>
    <row r="217" spans="2:8">
      <c r="B217" s="218"/>
      <c r="C217" s="22" t="s">
        <v>13</v>
      </c>
      <c r="D217" s="210" t="s">
        <v>104</v>
      </c>
      <c r="F217" s="218"/>
      <c r="G217" s="22" t="s">
        <v>13</v>
      </c>
      <c r="H217" s="210" t="s">
        <v>104</v>
      </c>
    </row>
    <row r="218" spans="2:8">
      <c r="B218" s="218"/>
      <c r="C218" s="213" t="s">
        <v>102</v>
      </c>
      <c r="D218" s="214">
        <f>(LOG(D214/D215))/(LOG(1+D216))</f>
        <v>1.2239010857415449</v>
      </c>
      <c r="F218" s="218"/>
      <c r="G218" s="213" t="s">
        <v>102</v>
      </c>
      <c r="H218" s="214">
        <f>(LOG(H214/H215))/(LOG(1+H216))</f>
        <v>1.3481817862339847</v>
      </c>
    </row>
    <row r="219" spans="2:8">
      <c r="B219" s="219"/>
      <c r="C219" s="220"/>
      <c r="D219" s="221"/>
      <c r="F219" s="219"/>
      <c r="G219" s="220"/>
      <c r="H219" s="221"/>
    </row>
    <row r="221" spans="2:8">
      <c r="B221" s="317" t="s">
        <v>143</v>
      </c>
      <c r="C221" s="312"/>
      <c r="D221" s="318"/>
      <c r="F221" s="317" t="s">
        <v>144</v>
      </c>
      <c r="G221" s="312"/>
      <c r="H221" s="318"/>
    </row>
    <row r="222" spans="2:8">
      <c r="B222" s="79"/>
      <c r="C222" s="220"/>
      <c r="D222" s="221"/>
      <c r="F222" s="79"/>
      <c r="G222" s="220"/>
      <c r="H222" s="221"/>
    </row>
    <row r="223" spans="2:8">
      <c r="B223" s="211" t="s">
        <v>33</v>
      </c>
      <c r="C223" s="207" t="s">
        <v>70</v>
      </c>
      <c r="D223" s="206">
        <v>1</v>
      </c>
      <c r="F223" s="211" t="s">
        <v>33</v>
      </c>
      <c r="G223" s="207" t="s">
        <v>70</v>
      </c>
      <c r="H223" s="206">
        <v>1</v>
      </c>
    </row>
    <row r="224" spans="2:8">
      <c r="B224" s="212" t="s">
        <v>9</v>
      </c>
      <c r="C224" s="4" t="s">
        <v>11</v>
      </c>
      <c r="D224" s="222">
        <f>D223*0.8</f>
        <v>0.8</v>
      </c>
      <c r="F224" s="212" t="s">
        <v>9</v>
      </c>
      <c r="G224" s="4" t="s">
        <v>11</v>
      </c>
      <c r="H224" s="222">
        <f>H223*0.8</f>
        <v>0.8</v>
      </c>
    </row>
    <row r="225" spans="2:8">
      <c r="B225" s="212" t="s">
        <v>10</v>
      </c>
      <c r="C225" s="4" t="s">
        <v>12</v>
      </c>
      <c r="D225" s="209">
        <f>16%</f>
        <v>0.16</v>
      </c>
      <c r="F225" s="212" t="s">
        <v>10</v>
      </c>
      <c r="G225" s="4" t="s">
        <v>12</v>
      </c>
      <c r="H225" s="209">
        <f>14%</f>
        <v>0.14000000000000001</v>
      </c>
    </row>
    <row r="226" spans="2:8">
      <c r="B226" s="218"/>
      <c r="C226" s="22" t="s">
        <v>13</v>
      </c>
      <c r="D226" s="210" t="s">
        <v>104</v>
      </c>
      <c r="F226" s="218"/>
      <c r="G226" s="22" t="s">
        <v>13</v>
      </c>
      <c r="H226" s="210" t="s">
        <v>104</v>
      </c>
    </row>
    <row r="227" spans="2:8">
      <c r="B227" s="219"/>
      <c r="C227" s="213" t="s">
        <v>102</v>
      </c>
      <c r="D227" s="214">
        <f>(LOG(D223/D224))/(LOG(1+D225))</f>
        <v>1.5034600702000429</v>
      </c>
      <c r="F227" s="219"/>
      <c r="G227" s="213" t="s">
        <v>102</v>
      </c>
      <c r="H227" s="214">
        <f>(LOG(H223/H224))/(LOG(1+H225))</f>
        <v>1.7030184726261264</v>
      </c>
    </row>
    <row r="273" spans="2:8">
      <c r="B273" s="317" t="s">
        <v>141</v>
      </c>
      <c r="C273" s="312"/>
      <c r="D273" s="318"/>
      <c r="F273" s="317" t="s">
        <v>142</v>
      </c>
      <c r="G273" s="312"/>
      <c r="H273" s="318"/>
    </row>
    <row r="274" spans="2:8">
      <c r="B274" s="290"/>
      <c r="C274" s="291"/>
      <c r="D274" s="292"/>
      <c r="F274" s="290"/>
      <c r="G274" s="291"/>
      <c r="H274" s="292"/>
    </row>
    <row r="275" spans="2:8">
      <c r="B275" s="211" t="s">
        <v>33</v>
      </c>
      <c r="C275" s="207" t="s">
        <v>70</v>
      </c>
      <c r="D275" s="206">
        <v>1</v>
      </c>
      <c r="F275" s="211" t="s">
        <v>33</v>
      </c>
      <c r="G275" s="207" t="s">
        <v>70</v>
      </c>
      <c r="H275" s="206">
        <v>1</v>
      </c>
    </row>
    <row r="276" spans="2:8">
      <c r="B276" s="212" t="s">
        <v>9</v>
      </c>
      <c r="C276" s="4" t="s">
        <v>11</v>
      </c>
      <c r="D276" s="222">
        <f>D275*0.4</f>
        <v>0.4</v>
      </c>
      <c r="F276" s="212" t="s">
        <v>9</v>
      </c>
      <c r="G276" s="4" t="s">
        <v>11</v>
      </c>
      <c r="H276" s="222">
        <f>H275*0.4</f>
        <v>0.4</v>
      </c>
    </row>
    <row r="277" spans="2:8">
      <c r="B277" s="212" t="s">
        <v>10</v>
      </c>
      <c r="C277" s="4" t="s">
        <v>12</v>
      </c>
      <c r="D277" s="209">
        <f>15%</f>
        <v>0.15</v>
      </c>
      <c r="F277" s="212" t="s">
        <v>10</v>
      </c>
      <c r="G277" s="4" t="s">
        <v>12</v>
      </c>
      <c r="H277" s="209">
        <f>14%</f>
        <v>0.14000000000000001</v>
      </c>
    </row>
    <row r="278" spans="2:8">
      <c r="B278" s="293"/>
      <c r="C278" s="22" t="s">
        <v>13</v>
      </c>
      <c r="D278" s="210" t="s">
        <v>104</v>
      </c>
      <c r="F278" s="293"/>
      <c r="G278" s="22" t="s">
        <v>13</v>
      </c>
      <c r="H278" s="210" t="s">
        <v>104</v>
      </c>
    </row>
    <row r="279" spans="2:8">
      <c r="B279" s="294"/>
      <c r="C279" s="213" t="s">
        <v>102</v>
      </c>
      <c r="D279" s="214">
        <f>(LOG(D275/D276))/(LOG(1+D277))</f>
        <v>6.5560818367462614</v>
      </c>
      <c r="F279" s="294"/>
      <c r="G279" s="213" t="s">
        <v>102</v>
      </c>
      <c r="H279" s="214">
        <f>(LOG(H275/H276))/(LOG(1+H277))</f>
        <v>6.9930770281615979</v>
      </c>
    </row>
    <row r="282" spans="2:8">
      <c r="B282" s="317" t="s">
        <v>143</v>
      </c>
      <c r="C282" s="312"/>
      <c r="D282" s="318"/>
      <c r="F282" s="317" t="s">
        <v>144</v>
      </c>
      <c r="G282" s="312"/>
      <c r="H282" s="318"/>
    </row>
    <row r="283" spans="2:8">
      <c r="B283" s="290"/>
      <c r="C283" s="291"/>
      <c r="D283" s="292"/>
      <c r="F283" s="290"/>
      <c r="G283" s="291"/>
      <c r="H283" s="292"/>
    </row>
    <row r="284" spans="2:8">
      <c r="B284" s="211" t="s">
        <v>33</v>
      </c>
      <c r="C284" s="207" t="s">
        <v>70</v>
      </c>
      <c r="D284" s="206">
        <v>1</v>
      </c>
      <c r="F284" s="211" t="s">
        <v>33</v>
      </c>
      <c r="G284" s="207" t="s">
        <v>70</v>
      </c>
      <c r="H284" s="206">
        <v>1</v>
      </c>
    </row>
    <row r="285" spans="2:8">
      <c r="B285" s="212" t="s">
        <v>9</v>
      </c>
      <c r="C285" s="4" t="s">
        <v>11</v>
      </c>
      <c r="D285" s="222">
        <f>D284*0.4</f>
        <v>0.4</v>
      </c>
      <c r="F285" s="212" t="s">
        <v>9</v>
      </c>
      <c r="G285" s="4" t="s">
        <v>11</v>
      </c>
      <c r="H285" s="222">
        <f>H284*0.4</f>
        <v>0.4</v>
      </c>
    </row>
    <row r="286" spans="2:8">
      <c r="B286" s="212" t="s">
        <v>10</v>
      </c>
      <c r="C286" s="4" t="s">
        <v>12</v>
      </c>
      <c r="D286" s="209">
        <f>13%</f>
        <v>0.13</v>
      </c>
      <c r="F286" s="212" t="s">
        <v>10</v>
      </c>
      <c r="G286" s="4" t="s">
        <v>12</v>
      </c>
      <c r="H286" s="209">
        <f>12%</f>
        <v>0.12</v>
      </c>
    </row>
    <row r="287" spans="2:8">
      <c r="B287" s="293"/>
      <c r="C287" s="22" t="s">
        <v>13</v>
      </c>
      <c r="D287" s="210" t="s">
        <v>104</v>
      </c>
      <c r="F287" s="293"/>
      <c r="G287" s="22" t="s">
        <v>13</v>
      </c>
      <c r="H287" s="210" t="s">
        <v>104</v>
      </c>
    </row>
    <row r="288" spans="2:8">
      <c r="B288" s="294"/>
      <c r="C288" s="213" t="s">
        <v>102</v>
      </c>
      <c r="D288" s="214">
        <f>(LOG(D284/D285))/(LOG(1+D286))</f>
        <v>7.4972056932367215</v>
      </c>
      <c r="F288" s="294"/>
      <c r="G288" s="213" t="s">
        <v>102</v>
      </c>
      <c r="H288" s="214">
        <f>(LOG(H284/H285))/(LOG(1+H286))</f>
        <v>8.0852498146604006</v>
      </c>
    </row>
    <row r="325" spans="2:8">
      <c r="B325" s="317" t="s">
        <v>141</v>
      </c>
      <c r="C325" s="312"/>
      <c r="D325" s="318"/>
      <c r="F325" s="317" t="s">
        <v>142</v>
      </c>
      <c r="G325" s="312"/>
      <c r="H325" s="318"/>
    </row>
    <row r="326" spans="2:8">
      <c r="B326" s="295"/>
      <c r="C326" s="296"/>
      <c r="D326" s="297"/>
      <c r="F326" s="295"/>
      <c r="G326" s="296"/>
      <c r="H326" s="297"/>
    </row>
    <row r="327" spans="2:8">
      <c r="B327" s="211" t="s">
        <v>33</v>
      </c>
      <c r="C327" s="207" t="s">
        <v>70</v>
      </c>
      <c r="D327" s="206">
        <v>1</v>
      </c>
      <c r="F327" s="211" t="s">
        <v>33</v>
      </c>
      <c r="G327" s="207" t="s">
        <v>70</v>
      </c>
      <c r="H327" s="206">
        <v>1</v>
      </c>
    </row>
    <row r="328" spans="2:8">
      <c r="B328" s="212" t="s">
        <v>9</v>
      </c>
      <c r="C328" s="4" t="s">
        <v>11</v>
      </c>
      <c r="D328" s="222">
        <f>D327*0.5</f>
        <v>0.5</v>
      </c>
      <c r="F328" s="212" t="s">
        <v>9</v>
      </c>
      <c r="G328" s="4" t="s">
        <v>11</v>
      </c>
      <c r="H328" s="222">
        <f>H327*0.5</f>
        <v>0.5</v>
      </c>
    </row>
    <row r="329" spans="2:8">
      <c r="B329" s="212" t="s">
        <v>10</v>
      </c>
      <c r="C329" s="4" t="s">
        <v>12</v>
      </c>
      <c r="D329" s="209">
        <f>25%</f>
        <v>0.25</v>
      </c>
      <c r="F329" s="212" t="s">
        <v>10</v>
      </c>
      <c r="G329" s="4" t="s">
        <v>12</v>
      </c>
      <c r="H329" s="209">
        <f>20%</f>
        <v>0.2</v>
      </c>
    </row>
    <row r="330" spans="2:8">
      <c r="B330" s="298"/>
      <c r="C330" s="22" t="s">
        <v>13</v>
      </c>
      <c r="D330" s="210" t="s">
        <v>104</v>
      </c>
      <c r="F330" s="298"/>
      <c r="G330" s="22" t="s">
        <v>13</v>
      </c>
      <c r="H330" s="210" t="s">
        <v>104</v>
      </c>
    </row>
    <row r="331" spans="2:8">
      <c r="B331" s="299"/>
      <c r="C331" s="213" t="s">
        <v>102</v>
      </c>
      <c r="D331" s="214">
        <f>(LOG(D327/D328))/(LOG(1+D329))</f>
        <v>3.1062837195053898</v>
      </c>
      <c r="F331" s="299"/>
      <c r="G331" s="213" t="s">
        <v>102</v>
      </c>
      <c r="H331" s="214">
        <f>(LOG(H327/H328))/(LOG(1+H329))</f>
        <v>3.8017840169239308</v>
      </c>
    </row>
    <row r="334" spans="2:8">
      <c r="B334" s="317" t="s">
        <v>143</v>
      </c>
      <c r="C334" s="312"/>
      <c r="D334" s="318"/>
      <c r="F334" s="317" t="s">
        <v>144</v>
      </c>
      <c r="G334" s="312"/>
      <c r="H334" s="318"/>
    </row>
    <row r="335" spans="2:8">
      <c r="B335" s="295"/>
      <c r="C335" s="296"/>
      <c r="D335" s="297"/>
      <c r="F335" s="295"/>
      <c r="G335" s="296"/>
      <c r="H335" s="297"/>
    </row>
    <row r="336" spans="2:8">
      <c r="B336" s="211" t="s">
        <v>33</v>
      </c>
      <c r="C336" s="207" t="s">
        <v>70</v>
      </c>
      <c r="D336" s="206">
        <v>1</v>
      </c>
      <c r="F336" s="211" t="s">
        <v>33</v>
      </c>
      <c r="G336" s="207" t="s">
        <v>70</v>
      </c>
      <c r="H336" s="206">
        <v>1</v>
      </c>
    </row>
    <row r="337" spans="2:8">
      <c r="B337" s="212" t="s">
        <v>9</v>
      </c>
      <c r="C337" s="4" t="s">
        <v>11</v>
      </c>
      <c r="D337" s="222">
        <f>D336*0.5</f>
        <v>0.5</v>
      </c>
      <c r="F337" s="212" t="s">
        <v>9</v>
      </c>
      <c r="G337" s="4" t="s">
        <v>11</v>
      </c>
      <c r="H337" s="222">
        <f>H336*0.5</f>
        <v>0.5</v>
      </c>
    </row>
    <row r="338" spans="2:8">
      <c r="B338" s="212" t="s">
        <v>10</v>
      </c>
      <c r="C338" s="4" t="s">
        <v>12</v>
      </c>
      <c r="D338" s="209">
        <f>15%</f>
        <v>0.15</v>
      </c>
      <c r="F338" s="212" t="s">
        <v>10</v>
      </c>
      <c r="G338" s="4" t="s">
        <v>12</v>
      </c>
      <c r="H338" s="209">
        <f>10%</f>
        <v>0.1</v>
      </c>
    </row>
    <row r="339" spans="2:8">
      <c r="B339" s="298"/>
      <c r="C339" s="22" t="s">
        <v>13</v>
      </c>
      <c r="D339" s="210" t="s">
        <v>104</v>
      </c>
      <c r="F339" s="298"/>
      <c r="G339" s="22" t="s">
        <v>13</v>
      </c>
      <c r="H339" s="210" t="s">
        <v>104</v>
      </c>
    </row>
    <row r="340" spans="2:8">
      <c r="B340" s="299"/>
      <c r="C340" s="213" t="s">
        <v>102</v>
      </c>
      <c r="D340" s="214">
        <f>(LOG(D336/D337))/(LOG(1+D338))</f>
        <v>4.9594844546403909</v>
      </c>
      <c r="F340" s="299"/>
      <c r="G340" s="213" t="s">
        <v>102</v>
      </c>
      <c r="H340" s="214">
        <f>(LOG(H336/H337))/(LOG(1+H338))</f>
        <v>7.2725408973417123</v>
      </c>
    </row>
    <row r="372" spans="2:8">
      <c r="B372" s="317" t="s">
        <v>141</v>
      </c>
      <c r="C372" s="312"/>
      <c r="D372" s="318"/>
      <c r="F372" s="317" t="s">
        <v>142</v>
      </c>
      <c r="G372" s="312"/>
      <c r="H372" s="318"/>
    </row>
    <row r="373" spans="2:8">
      <c r="B373" s="295"/>
      <c r="C373" s="296"/>
      <c r="D373" s="297"/>
      <c r="F373" s="295"/>
      <c r="G373" s="296"/>
      <c r="H373" s="297"/>
    </row>
    <row r="374" spans="2:8">
      <c r="B374" s="211" t="s">
        <v>33</v>
      </c>
      <c r="C374" s="207" t="s">
        <v>70</v>
      </c>
      <c r="D374" s="206">
        <v>1</v>
      </c>
      <c r="F374" s="211" t="s">
        <v>33</v>
      </c>
      <c r="G374" s="207" t="s">
        <v>70</v>
      </c>
      <c r="H374" s="206">
        <v>1</v>
      </c>
    </row>
    <row r="375" spans="2:8">
      <c r="B375" s="212" t="s">
        <v>9</v>
      </c>
      <c r="C375" s="4" t="s">
        <v>11</v>
      </c>
      <c r="D375" s="222">
        <f>D374*0.65</f>
        <v>0.65</v>
      </c>
      <c r="F375" s="212" t="s">
        <v>9</v>
      </c>
      <c r="G375" s="4" t="s">
        <v>11</v>
      </c>
      <c r="H375" s="222">
        <f>H374*0.65</f>
        <v>0.65</v>
      </c>
    </row>
    <row r="376" spans="2:8">
      <c r="B376" s="212" t="s">
        <v>10</v>
      </c>
      <c r="C376" s="4" t="s">
        <v>12</v>
      </c>
      <c r="D376" s="209">
        <f>10%</f>
        <v>0.1</v>
      </c>
      <c r="F376" s="212" t="s">
        <v>10</v>
      </c>
      <c r="G376" s="4" t="s">
        <v>12</v>
      </c>
      <c r="H376" s="209">
        <f>9%</f>
        <v>0.09</v>
      </c>
    </row>
    <row r="377" spans="2:8">
      <c r="B377" s="298"/>
      <c r="C377" s="22" t="s">
        <v>13</v>
      </c>
      <c r="D377" s="210" t="s">
        <v>104</v>
      </c>
      <c r="F377" s="298"/>
      <c r="G377" s="22" t="s">
        <v>13</v>
      </c>
      <c r="H377" s="210" t="s">
        <v>104</v>
      </c>
    </row>
    <row r="378" spans="2:8">
      <c r="B378" s="299"/>
      <c r="C378" s="213" t="s">
        <v>102</v>
      </c>
      <c r="D378" s="214">
        <f>(LOG(D374/D375))/(LOG(1+D376))</f>
        <v>4.5197996371097631</v>
      </c>
      <c r="F378" s="299"/>
      <c r="G378" s="213" t="s">
        <v>102</v>
      </c>
      <c r="H378" s="214">
        <f>(LOG(H374/H375))/(LOG(1+H376))</f>
        <v>4.9987750297650964</v>
      </c>
    </row>
    <row r="381" spans="2:8">
      <c r="B381" s="317" t="s">
        <v>143</v>
      </c>
      <c r="C381" s="312"/>
      <c r="D381" s="318"/>
      <c r="F381" s="317" t="s">
        <v>144</v>
      </c>
      <c r="G381" s="312"/>
      <c r="H381" s="318"/>
    </row>
    <row r="382" spans="2:8">
      <c r="B382" s="295"/>
      <c r="C382" s="296"/>
      <c r="D382" s="297"/>
      <c r="F382" s="295"/>
      <c r="G382" s="296"/>
      <c r="H382" s="297"/>
    </row>
    <row r="383" spans="2:8">
      <c r="B383" s="211" t="s">
        <v>33</v>
      </c>
      <c r="C383" s="207" t="s">
        <v>70</v>
      </c>
      <c r="D383" s="206">
        <v>1</v>
      </c>
      <c r="F383" s="211" t="s">
        <v>33</v>
      </c>
      <c r="G383" s="207" t="s">
        <v>70</v>
      </c>
      <c r="H383" s="206">
        <v>1</v>
      </c>
    </row>
    <row r="384" spans="2:8">
      <c r="B384" s="212" t="s">
        <v>9</v>
      </c>
      <c r="C384" s="4" t="s">
        <v>11</v>
      </c>
      <c r="D384" s="222">
        <f>D383*0.65</f>
        <v>0.65</v>
      </c>
      <c r="F384" s="212" t="s">
        <v>9</v>
      </c>
      <c r="G384" s="4" t="s">
        <v>11</v>
      </c>
      <c r="H384" s="222">
        <f>H383*0.65</f>
        <v>0.65</v>
      </c>
    </row>
    <row r="385" spans="2:8">
      <c r="B385" s="212" t="s">
        <v>10</v>
      </c>
      <c r="C385" s="4" t="s">
        <v>12</v>
      </c>
      <c r="D385" s="209">
        <f>8%</f>
        <v>0.08</v>
      </c>
      <c r="F385" s="212" t="s">
        <v>10</v>
      </c>
      <c r="G385" s="4" t="s">
        <v>12</v>
      </c>
      <c r="H385" s="209">
        <f>7%</f>
        <v>7.0000000000000007E-2</v>
      </c>
    </row>
    <row r="386" spans="2:8">
      <c r="B386" s="298"/>
      <c r="C386" s="22" t="s">
        <v>13</v>
      </c>
      <c r="D386" s="210" t="s">
        <v>104</v>
      </c>
      <c r="F386" s="298"/>
      <c r="G386" s="22" t="s">
        <v>13</v>
      </c>
      <c r="H386" s="210" t="s">
        <v>104</v>
      </c>
    </row>
    <row r="387" spans="2:8">
      <c r="B387" s="299"/>
      <c r="C387" s="213" t="s">
        <v>102</v>
      </c>
      <c r="D387" s="214">
        <f>(LOG(D383/D384))/(LOG(1+D385))</f>
        <v>5.5974153900866161</v>
      </c>
      <c r="F387" s="299"/>
      <c r="G387" s="213" t="s">
        <v>102</v>
      </c>
      <c r="H387" s="214">
        <f>(LOG(H383/H384))/(LOG(1+H385))</f>
        <v>6.3670044526410408</v>
      </c>
    </row>
    <row r="421" spans="2:6">
      <c r="B421" s="169"/>
      <c r="C421" s="314" t="s">
        <v>108</v>
      </c>
      <c r="D421" s="314"/>
      <c r="E421" s="314"/>
      <c r="F421" s="170"/>
    </row>
    <row r="422" spans="2:6">
      <c r="B422" s="21"/>
      <c r="C422" s="22"/>
      <c r="D422" s="22"/>
      <c r="E422" s="22"/>
      <c r="F422" s="103"/>
    </row>
    <row r="423" spans="2:6">
      <c r="B423" s="109" t="s">
        <v>33</v>
      </c>
      <c r="C423" s="4" t="s">
        <v>70</v>
      </c>
      <c r="D423" s="6">
        <v>150000</v>
      </c>
      <c r="E423" s="6">
        <v>200000</v>
      </c>
      <c r="F423" s="172">
        <v>280000</v>
      </c>
    </row>
    <row r="424" spans="2:6">
      <c r="B424" s="110"/>
      <c r="C424" s="4" t="s">
        <v>12</v>
      </c>
      <c r="D424" s="145">
        <v>0.11</v>
      </c>
      <c r="E424" s="145">
        <v>0.11</v>
      </c>
      <c r="F424" s="145">
        <v>0.11</v>
      </c>
    </row>
    <row r="425" spans="2:6">
      <c r="B425" s="110"/>
      <c r="C425" s="21" t="s">
        <v>13</v>
      </c>
      <c r="D425" s="22">
        <v>1</v>
      </c>
      <c r="E425" s="22">
        <v>2</v>
      </c>
      <c r="F425" s="103">
        <v>3</v>
      </c>
    </row>
    <row r="426" spans="2:6">
      <c r="B426" s="110"/>
      <c r="C426" s="34"/>
      <c r="D426" s="38"/>
      <c r="E426" s="38"/>
      <c r="F426" s="108"/>
    </row>
    <row r="427" spans="2:6">
      <c r="B427" s="110"/>
      <c r="C427" s="21" t="s">
        <v>9</v>
      </c>
      <c r="D427" s="174">
        <f>D423/((1+D424)^D425)</f>
        <v>135135.13513513512</v>
      </c>
      <c r="E427" s="174">
        <f>E423/((1+E424)^E425)</f>
        <v>162324.48664881094</v>
      </c>
      <c r="F427" s="175">
        <f>F423/((1+F424)^F425)</f>
        <v>204733.58676426605</v>
      </c>
    </row>
    <row r="428" spans="2:6">
      <c r="B428" s="107"/>
      <c r="C428" s="22"/>
      <c r="D428" s="22"/>
      <c r="E428" s="22"/>
      <c r="F428" s="103"/>
    </row>
    <row r="429" spans="2:6">
      <c r="C429" s="169"/>
      <c r="D429" s="176"/>
      <c r="E429" s="176"/>
      <c r="F429" s="170"/>
    </row>
    <row r="430" spans="2:6">
      <c r="C430" s="333" t="s">
        <v>86</v>
      </c>
      <c r="D430" s="334"/>
      <c r="E430" s="6">
        <f>D427+E427+F427</f>
        <v>502193.20854821207</v>
      </c>
      <c r="F430" s="85"/>
    </row>
    <row r="431" spans="2:6">
      <c r="C431" s="333" t="s">
        <v>91</v>
      </c>
      <c r="D431" s="334"/>
      <c r="E431" s="6">
        <v>350000</v>
      </c>
      <c r="F431" s="85"/>
    </row>
    <row r="432" spans="2:6">
      <c r="C432" s="324" t="s">
        <v>88</v>
      </c>
      <c r="D432" s="325"/>
      <c r="E432" s="6">
        <f>E430-E431</f>
        <v>152193.20854821207</v>
      </c>
      <c r="F432" s="335" t="s">
        <v>130</v>
      </c>
    </row>
    <row r="433" spans="3:6">
      <c r="C433" s="326"/>
      <c r="D433" s="327"/>
      <c r="E433" s="4"/>
      <c r="F433" s="335"/>
    </row>
    <row r="434" spans="3:6">
      <c r="C434" s="21"/>
      <c r="D434" s="22"/>
      <c r="E434" s="22"/>
      <c r="F434" s="103"/>
    </row>
    <row r="470" spans="3:7">
      <c r="C470" s="169"/>
      <c r="D470" s="314" t="s">
        <v>110</v>
      </c>
      <c r="E470" s="314"/>
      <c r="F470" s="314"/>
      <c r="G470" s="170"/>
    </row>
    <row r="471" spans="3:7">
      <c r="C471" s="21"/>
      <c r="D471" s="22"/>
      <c r="E471" s="22"/>
      <c r="F471" s="22"/>
      <c r="G471" s="103"/>
    </row>
    <row r="472" spans="3:7">
      <c r="C472" s="109" t="s">
        <v>33</v>
      </c>
      <c r="D472" s="4" t="s">
        <v>70</v>
      </c>
      <c r="E472" s="6">
        <v>140000</v>
      </c>
      <c r="F472" s="6">
        <v>210000</v>
      </c>
      <c r="G472" s="172">
        <v>250000</v>
      </c>
    </row>
    <row r="473" spans="3:7">
      <c r="C473" s="110"/>
      <c r="D473" s="4" t="s">
        <v>12</v>
      </c>
      <c r="E473" s="145">
        <v>0.1</v>
      </c>
      <c r="F473" s="145">
        <v>0.1</v>
      </c>
      <c r="G473" s="145">
        <v>0.1</v>
      </c>
    </row>
    <row r="474" spans="3:7">
      <c r="C474" s="110"/>
      <c r="D474" s="21" t="s">
        <v>13</v>
      </c>
      <c r="E474" s="22">
        <v>1</v>
      </c>
      <c r="F474" s="22">
        <v>2</v>
      </c>
      <c r="G474" s="103">
        <v>3</v>
      </c>
    </row>
    <row r="475" spans="3:7">
      <c r="C475" s="110"/>
      <c r="D475" s="34"/>
      <c r="E475" s="38"/>
      <c r="F475" s="38"/>
      <c r="G475" s="108"/>
    </row>
    <row r="476" spans="3:7">
      <c r="C476" s="110"/>
      <c r="D476" s="21" t="s">
        <v>9</v>
      </c>
      <c r="E476" s="174">
        <f>E472/((1+E473)^E474)</f>
        <v>127272.72727272726</v>
      </c>
      <c r="F476" s="174">
        <f>F472/((1+F473)^F474)</f>
        <v>173553.71900826442</v>
      </c>
      <c r="G476" s="175">
        <f>G472/((1+G473)^G474)</f>
        <v>187828.70022539439</v>
      </c>
    </row>
    <row r="477" spans="3:7">
      <c r="C477" s="107"/>
      <c r="D477" s="22"/>
      <c r="E477" s="22"/>
      <c r="F477" s="22"/>
      <c r="G477" s="103"/>
    </row>
    <row r="478" spans="3:7">
      <c r="D478" s="169"/>
      <c r="E478" s="176"/>
      <c r="F478" s="176"/>
      <c r="G478" s="170"/>
    </row>
    <row r="479" spans="3:7">
      <c r="D479" s="333" t="s">
        <v>86</v>
      </c>
      <c r="E479" s="334"/>
      <c r="F479" s="6">
        <f>E476+F476+G476</f>
        <v>488655.14650638605</v>
      </c>
      <c r="G479" s="85"/>
    </row>
    <row r="480" spans="3:7">
      <c r="D480" s="333" t="s">
        <v>91</v>
      </c>
      <c r="E480" s="334"/>
      <c r="F480" s="6">
        <v>300000</v>
      </c>
      <c r="G480" s="85"/>
    </row>
    <row r="481" spans="4:7">
      <c r="D481" s="324" t="s">
        <v>88</v>
      </c>
      <c r="E481" s="325"/>
      <c r="F481" s="6">
        <f>F479-F480</f>
        <v>188655.14650638605</v>
      </c>
      <c r="G481" s="335" t="s">
        <v>130</v>
      </c>
    </row>
    <row r="482" spans="4:7">
      <c r="D482" s="326"/>
      <c r="E482" s="327"/>
      <c r="F482" s="4"/>
      <c r="G482" s="335"/>
    </row>
    <row r="483" spans="4:7">
      <c r="D483" s="21"/>
      <c r="E483" s="22"/>
      <c r="F483" s="22"/>
      <c r="G483" s="103"/>
    </row>
    <row r="522" spans="3:7">
      <c r="C522" s="169"/>
      <c r="D522" s="314" t="s">
        <v>111</v>
      </c>
      <c r="E522" s="314"/>
      <c r="F522" s="314"/>
      <c r="G522" s="170"/>
    </row>
    <row r="523" spans="3:7">
      <c r="C523" s="21"/>
      <c r="D523" s="22"/>
      <c r="E523" s="22"/>
      <c r="F523" s="22"/>
      <c r="G523" s="103"/>
    </row>
    <row r="524" spans="3:7">
      <c r="C524" s="109" t="s">
        <v>33</v>
      </c>
      <c r="D524" s="4" t="s">
        <v>70</v>
      </c>
      <c r="E524" s="6">
        <v>150000</v>
      </c>
      <c r="F524" s="6">
        <v>220000</v>
      </c>
      <c r="G524" s="172">
        <v>260000</v>
      </c>
    </row>
    <row r="525" spans="3:7">
      <c r="C525" s="110"/>
      <c r="D525" s="4" t="s">
        <v>12</v>
      </c>
      <c r="E525" s="145">
        <v>0.12</v>
      </c>
      <c r="F525" s="145">
        <v>0.12</v>
      </c>
      <c r="G525" s="145">
        <v>0.12</v>
      </c>
    </row>
    <row r="526" spans="3:7">
      <c r="C526" s="110"/>
      <c r="D526" s="21" t="s">
        <v>13</v>
      </c>
      <c r="E526" s="22">
        <v>1</v>
      </c>
      <c r="F526" s="22">
        <v>2</v>
      </c>
      <c r="G526" s="103">
        <v>3</v>
      </c>
    </row>
    <row r="527" spans="3:7">
      <c r="C527" s="110"/>
      <c r="D527" s="34"/>
      <c r="E527" s="38"/>
      <c r="F527" s="38"/>
      <c r="G527" s="108"/>
    </row>
    <row r="528" spans="3:7">
      <c r="C528" s="110"/>
      <c r="D528" s="21" t="s">
        <v>9</v>
      </c>
      <c r="E528" s="174">
        <f>E524/((1+E525)^E526)</f>
        <v>133928.57142857142</v>
      </c>
      <c r="F528" s="174">
        <f>F524/((1+F525)^F526)</f>
        <v>175382.65306122447</v>
      </c>
      <c r="G528" s="175">
        <f>G524/((1+G525)^G526)</f>
        <v>185062.86443148681</v>
      </c>
    </row>
    <row r="529" spans="3:7">
      <c r="C529" s="107"/>
      <c r="D529" s="22"/>
      <c r="E529" s="22"/>
      <c r="F529" s="22"/>
      <c r="G529" s="103"/>
    </row>
    <row r="530" spans="3:7">
      <c r="D530" s="169"/>
      <c r="E530" s="176"/>
      <c r="F530" s="176"/>
      <c r="G530" s="170"/>
    </row>
    <row r="531" spans="3:7">
      <c r="D531" s="333" t="s">
        <v>86</v>
      </c>
      <c r="E531" s="334"/>
      <c r="F531" s="6">
        <f>E528+F528+G528</f>
        <v>494374.08892128267</v>
      </c>
      <c r="G531" s="85"/>
    </row>
    <row r="532" spans="3:7">
      <c r="D532" s="333" t="s">
        <v>91</v>
      </c>
      <c r="E532" s="334"/>
      <c r="F532" s="6">
        <v>350000</v>
      </c>
      <c r="G532" s="85"/>
    </row>
    <row r="533" spans="3:7">
      <c r="D533" s="324" t="s">
        <v>88</v>
      </c>
      <c r="E533" s="325"/>
      <c r="F533" s="6">
        <f>F531-F532</f>
        <v>144374.08892128267</v>
      </c>
      <c r="G533" s="335" t="s">
        <v>130</v>
      </c>
    </row>
    <row r="534" spans="3:7">
      <c r="D534" s="326"/>
      <c r="E534" s="327"/>
      <c r="F534" s="4"/>
      <c r="G534" s="335"/>
    </row>
    <row r="535" spans="3:7">
      <c r="D535" s="21"/>
      <c r="E535" s="22"/>
      <c r="F535" s="22"/>
      <c r="G535" s="103"/>
    </row>
    <row r="581" spans="3:7">
      <c r="C581" s="177" t="s">
        <v>33</v>
      </c>
      <c r="D581" s="178" t="s">
        <v>70</v>
      </c>
      <c r="E581" s="306">
        <v>180000</v>
      </c>
      <c r="F581" s="200"/>
      <c r="G581" s="200"/>
    </row>
    <row r="582" spans="3:7">
      <c r="C582" s="179" t="s">
        <v>10</v>
      </c>
      <c r="D582" s="4" t="s">
        <v>12</v>
      </c>
      <c r="E582" s="186">
        <v>0.12</v>
      </c>
      <c r="F582" s="201"/>
      <c r="G582" s="201"/>
    </row>
    <row r="583" spans="3:7">
      <c r="C583" s="300"/>
      <c r="D583" s="165" t="s">
        <v>13</v>
      </c>
      <c r="E583" s="187">
        <v>2</v>
      </c>
      <c r="F583" s="201"/>
      <c r="G583" s="201"/>
    </row>
    <row r="584" spans="3:7">
      <c r="C584" s="300"/>
      <c r="D584" s="302"/>
      <c r="E584" s="303"/>
      <c r="F584" s="44"/>
      <c r="G584" s="201"/>
    </row>
    <row r="585" spans="3:7">
      <c r="C585" s="300"/>
      <c r="D585" s="67" t="s">
        <v>85</v>
      </c>
      <c r="E585" s="174">
        <f>E581/((1+E582)^E583)</f>
        <v>143494.89795918364</v>
      </c>
      <c r="F585" s="182"/>
      <c r="G585" s="201"/>
    </row>
    <row r="586" spans="3:7">
      <c r="C586" s="301"/>
      <c r="D586" s="220"/>
      <c r="E586" s="80"/>
      <c r="F586" s="304"/>
      <c r="G586" s="201"/>
    </row>
    <row r="587" spans="3:7">
      <c r="C587" s="337" t="s">
        <v>86</v>
      </c>
      <c r="D587" s="330"/>
      <c r="E587" s="330"/>
      <c r="F587" s="174">
        <f>E585</f>
        <v>143494.89795918364</v>
      </c>
      <c r="G587" s="201"/>
    </row>
    <row r="588" spans="3:7">
      <c r="C588" s="276"/>
      <c r="D588" s="120"/>
      <c r="E588" s="120"/>
      <c r="F588" s="44"/>
      <c r="G588" s="201"/>
    </row>
    <row r="589" spans="3:7">
      <c r="C589" s="338" t="s">
        <v>87</v>
      </c>
      <c r="D589" s="312"/>
      <c r="E589" s="312"/>
      <c r="F589" s="174">
        <v>120000</v>
      </c>
      <c r="G589" s="201"/>
    </row>
    <row r="590" spans="3:7">
      <c r="C590" s="305"/>
      <c r="D590" s="127"/>
      <c r="E590" s="127"/>
      <c r="F590" s="41"/>
      <c r="G590" s="201"/>
    </row>
    <row r="591" spans="3:7">
      <c r="C591" s="321" t="s">
        <v>145</v>
      </c>
      <c r="D591" s="322"/>
      <c r="E591" s="322"/>
      <c r="F591" s="174">
        <f>F587-F589</f>
        <v>23494.89795918364</v>
      </c>
      <c r="G591" s="85" t="s">
        <v>146</v>
      </c>
    </row>
    <row r="592" spans="3:7">
      <c r="C592" s="42"/>
      <c r="D592" s="43"/>
      <c r="E592" s="43"/>
      <c r="F592" s="44"/>
      <c r="G592" s="44"/>
    </row>
    <row r="657" spans="3:7">
      <c r="C657" s="177" t="s">
        <v>33</v>
      </c>
      <c r="D657" s="178" t="s">
        <v>70</v>
      </c>
      <c r="E657" s="306">
        <v>190000</v>
      </c>
      <c r="F657" s="200"/>
      <c r="G657" s="200"/>
    </row>
    <row r="658" spans="3:7">
      <c r="C658" s="179" t="s">
        <v>10</v>
      </c>
      <c r="D658" s="4" t="s">
        <v>12</v>
      </c>
      <c r="E658" s="186">
        <v>0.13</v>
      </c>
      <c r="F658" s="201"/>
      <c r="G658" s="201"/>
    </row>
    <row r="659" spans="3:7">
      <c r="C659" s="300"/>
      <c r="D659" s="165" t="s">
        <v>13</v>
      </c>
      <c r="E659" s="187">
        <v>3</v>
      </c>
      <c r="F659" s="201"/>
      <c r="G659" s="201"/>
    </row>
    <row r="660" spans="3:7">
      <c r="C660" s="300"/>
      <c r="D660" s="302"/>
      <c r="E660" s="303"/>
      <c r="F660" s="44"/>
      <c r="G660" s="201"/>
    </row>
    <row r="661" spans="3:7">
      <c r="C661" s="300"/>
      <c r="D661" s="67" t="s">
        <v>85</v>
      </c>
      <c r="E661" s="174">
        <f>E657/((1+E658)^E659)</f>
        <v>131679.53083276219</v>
      </c>
      <c r="F661" s="182"/>
      <c r="G661" s="201"/>
    </row>
    <row r="662" spans="3:7">
      <c r="C662" s="301"/>
      <c r="D662" s="220"/>
      <c r="E662" s="80"/>
      <c r="F662" s="304"/>
      <c r="G662" s="201"/>
    </row>
    <row r="663" spans="3:7">
      <c r="C663" s="337" t="s">
        <v>86</v>
      </c>
      <c r="D663" s="330"/>
      <c r="E663" s="330"/>
      <c r="F663" s="174">
        <f>E661</f>
        <v>131679.53083276219</v>
      </c>
      <c r="G663" s="201"/>
    </row>
    <row r="664" spans="3:7">
      <c r="C664" s="276"/>
      <c r="D664" s="120"/>
      <c r="E664" s="120"/>
      <c r="F664" s="44"/>
      <c r="G664" s="201"/>
    </row>
    <row r="665" spans="3:7">
      <c r="C665" s="338" t="s">
        <v>87</v>
      </c>
      <c r="D665" s="312"/>
      <c r="E665" s="312"/>
      <c r="F665" s="174">
        <v>90000</v>
      </c>
      <c r="G665" s="201"/>
    </row>
    <row r="666" spans="3:7">
      <c r="C666" s="305"/>
      <c r="D666" s="127"/>
      <c r="E666" s="127"/>
      <c r="F666" s="41"/>
      <c r="G666" s="201"/>
    </row>
    <row r="667" spans="3:7">
      <c r="C667" s="321" t="s">
        <v>145</v>
      </c>
      <c r="D667" s="322"/>
      <c r="E667" s="322"/>
      <c r="F667" s="174">
        <f>F663-F665</f>
        <v>41679.53083276219</v>
      </c>
      <c r="G667" s="85" t="s">
        <v>146</v>
      </c>
    </row>
    <row r="668" spans="3:7">
      <c r="C668" s="42"/>
      <c r="D668" s="43"/>
      <c r="E668" s="43"/>
      <c r="F668" s="44"/>
      <c r="G668" s="44"/>
    </row>
    <row r="721" spans="3:7">
      <c r="C721" s="177" t="s">
        <v>33</v>
      </c>
      <c r="D721" s="178" t="s">
        <v>70</v>
      </c>
      <c r="E721" s="306">
        <v>175000</v>
      </c>
      <c r="F721" s="200"/>
      <c r="G721" s="200"/>
    </row>
    <row r="722" spans="3:7">
      <c r="C722" s="179" t="s">
        <v>10</v>
      </c>
      <c r="D722" s="4" t="s">
        <v>12</v>
      </c>
      <c r="E722" s="186">
        <v>0.1</v>
      </c>
      <c r="F722" s="201"/>
      <c r="G722" s="201"/>
    </row>
    <row r="723" spans="3:7">
      <c r="C723" s="300"/>
      <c r="D723" s="165" t="s">
        <v>13</v>
      </c>
      <c r="E723" s="187">
        <v>2</v>
      </c>
      <c r="F723" s="201"/>
      <c r="G723" s="201"/>
    </row>
    <row r="724" spans="3:7">
      <c r="C724" s="300"/>
      <c r="D724" s="302"/>
      <c r="E724" s="303"/>
      <c r="F724" s="44"/>
      <c r="G724" s="201"/>
    </row>
    <row r="725" spans="3:7">
      <c r="C725" s="300"/>
      <c r="D725" s="67" t="s">
        <v>85</v>
      </c>
      <c r="E725" s="174">
        <f>E721/((1+E722)^E723)</f>
        <v>144628.0991735537</v>
      </c>
      <c r="F725" s="182"/>
      <c r="G725" s="201"/>
    </row>
    <row r="726" spans="3:7">
      <c r="C726" s="301"/>
      <c r="D726" s="220"/>
      <c r="E726" s="80"/>
      <c r="F726" s="304"/>
      <c r="G726" s="201"/>
    </row>
    <row r="727" spans="3:7">
      <c r="C727" s="337" t="s">
        <v>86</v>
      </c>
      <c r="D727" s="330"/>
      <c r="E727" s="330"/>
      <c r="F727" s="174">
        <f>E725</f>
        <v>144628.0991735537</v>
      </c>
      <c r="G727" s="201"/>
    </row>
    <row r="728" spans="3:7">
      <c r="C728" s="276"/>
      <c r="D728" s="120"/>
      <c r="E728" s="120"/>
      <c r="F728" s="44"/>
      <c r="G728" s="201"/>
    </row>
    <row r="729" spans="3:7">
      <c r="C729" s="338" t="s">
        <v>87</v>
      </c>
      <c r="D729" s="312"/>
      <c r="E729" s="312"/>
      <c r="F729" s="174">
        <v>100000</v>
      </c>
      <c r="G729" s="201"/>
    </row>
    <row r="730" spans="3:7">
      <c r="C730" s="305"/>
      <c r="D730" s="127"/>
      <c r="E730" s="127"/>
      <c r="F730" s="41"/>
      <c r="G730" s="201"/>
    </row>
    <row r="731" spans="3:7">
      <c r="C731" s="321" t="s">
        <v>145</v>
      </c>
      <c r="D731" s="322"/>
      <c r="E731" s="322"/>
      <c r="F731" s="174">
        <f>F727-F729</f>
        <v>44628.099173553695</v>
      </c>
      <c r="G731" s="85" t="s">
        <v>146</v>
      </c>
    </row>
    <row r="732" spans="3:7">
      <c r="C732" s="42"/>
      <c r="D732" s="43"/>
      <c r="E732" s="43"/>
      <c r="F732" s="44"/>
      <c r="G732" s="44"/>
    </row>
    <row r="763" spans="4:8">
      <c r="D763" s="321"/>
      <c r="E763" s="322"/>
      <c r="F763" s="322"/>
      <c r="G763" s="322"/>
      <c r="H763" s="323"/>
    </row>
    <row r="764" spans="4:8">
      <c r="D764" s="135"/>
      <c r="E764" s="136"/>
      <c r="F764" s="137"/>
      <c r="G764" s="130"/>
      <c r="H764" s="131"/>
    </row>
    <row r="765" spans="4:8">
      <c r="D765" s="142" t="s">
        <v>76</v>
      </c>
      <c r="E765" s="141"/>
      <c r="F765" s="118">
        <v>500000</v>
      </c>
      <c r="G765" s="130"/>
      <c r="H765" s="132"/>
    </row>
    <row r="766" spans="4:8">
      <c r="D766" s="142" t="s">
        <v>75</v>
      </c>
      <c r="E766" s="141"/>
      <c r="F766" s="118">
        <f>F765*0.6</f>
        <v>300000</v>
      </c>
      <c r="G766" s="130"/>
      <c r="H766" s="132"/>
    </row>
    <row r="767" spans="4:8">
      <c r="D767" s="107" t="s">
        <v>33</v>
      </c>
      <c r="E767" s="21" t="s">
        <v>70</v>
      </c>
      <c r="F767" s="118">
        <f>F765-F766</f>
        <v>200000</v>
      </c>
      <c r="G767" s="130" t="s">
        <v>72</v>
      </c>
      <c r="H767" s="132"/>
    </row>
    <row r="768" spans="4:8">
      <c r="D768" s="107" t="s">
        <v>32</v>
      </c>
      <c r="E768" s="34" t="s">
        <v>12</v>
      </c>
      <c r="F768" s="143">
        <f>18%/12</f>
        <v>1.4999999999999999E-2</v>
      </c>
      <c r="G768" s="133"/>
      <c r="H768" s="134"/>
    </row>
    <row r="769" spans="4:8">
      <c r="D769" s="138"/>
      <c r="E769" s="119" t="s">
        <v>13</v>
      </c>
      <c r="F769" s="108">
        <f>12*2</f>
        <v>24</v>
      </c>
      <c r="G769" s="319" t="s">
        <v>74</v>
      </c>
      <c r="H769" s="320"/>
    </row>
    <row r="770" spans="4:8">
      <c r="D770" s="139"/>
      <c r="E770" s="22"/>
      <c r="F770" s="90"/>
      <c r="G770" s="140"/>
      <c r="H770" s="134"/>
    </row>
    <row r="771" spans="4:8">
      <c r="D771" s="39"/>
      <c r="E771" s="22" t="s">
        <v>49</v>
      </c>
      <c r="F771" s="129">
        <f>F767/((1+F768)^F769)</f>
        <v>139908.78390096562</v>
      </c>
      <c r="G771" s="117">
        <f>PV(F768,F769,,-F767)</f>
        <v>139908.78390096562</v>
      </c>
      <c r="H771" s="103"/>
    </row>
    <row r="817" spans="4:7">
      <c r="D817" s="52"/>
      <c r="E817" s="330"/>
      <c r="F817" s="330"/>
      <c r="G817" s="260"/>
    </row>
    <row r="818" spans="4:7">
      <c r="D818" s="147" t="s">
        <v>123</v>
      </c>
      <c r="E818" s="4" t="s">
        <v>124</v>
      </c>
      <c r="F818" s="274">
        <v>5500</v>
      </c>
      <c r="G818" s="5"/>
    </row>
    <row r="819" spans="4:7">
      <c r="D819" s="148" t="s">
        <v>32</v>
      </c>
      <c r="E819" s="4" t="s">
        <v>12</v>
      </c>
      <c r="F819" s="307">
        <f>8%/12</f>
        <v>6.6666666666666671E-3</v>
      </c>
      <c r="G819" s="5"/>
    </row>
    <row r="820" spans="4:7">
      <c r="D820" s="262"/>
      <c r="E820" s="4" t="s">
        <v>13</v>
      </c>
      <c r="F820" s="5">
        <v>1</v>
      </c>
      <c r="G820" s="5"/>
    </row>
    <row r="821" spans="4:7">
      <c r="D821" s="262"/>
      <c r="E821" s="4"/>
      <c r="F821" s="5"/>
      <c r="G821" s="5"/>
    </row>
    <row r="822" spans="4:7">
      <c r="D822" s="148"/>
      <c r="E822" s="50" t="s">
        <v>49</v>
      </c>
      <c r="F822" s="273">
        <f>FV(F819,F820,-F818)</f>
        <v>5499.9999999999436</v>
      </c>
      <c r="G822" s="273">
        <f>F818*(((1+F819)^F820-1)/F819)</f>
        <v>5499.9999999999436</v>
      </c>
    </row>
    <row r="824" spans="4:7">
      <c r="E824" s="313"/>
      <c r="F824" s="314"/>
      <c r="G824" s="315"/>
    </row>
    <row r="825" spans="4:7">
      <c r="E825" s="276"/>
      <c r="F825" s="43"/>
      <c r="G825" s="44"/>
    </row>
    <row r="826" spans="4:7">
      <c r="E826" s="86" t="s">
        <v>11</v>
      </c>
      <c r="F826" s="89">
        <v>5500</v>
      </c>
      <c r="G826" s="85"/>
    </row>
    <row r="827" spans="4:7">
      <c r="E827" s="34" t="s">
        <v>12</v>
      </c>
      <c r="F827" s="308">
        <f>8%/12</f>
        <v>6.6666666666666671E-3</v>
      </c>
      <c r="G827" s="88">
        <v>0.08</v>
      </c>
    </row>
    <row r="828" spans="4:7">
      <c r="E828" s="92" t="s">
        <v>13</v>
      </c>
      <c r="F828" s="90">
        <f>1</f>
        <v>1</v>
      </c>
      <c r="G828" s="201"/>
    </row>
    <row r="829" spans="4:7">
      <c r="E829" s="42"/>
      <c r="F829" s="44"/>
      <c r="G829" s="201"/>
    </row>
    <row r="830" spans="4:7">
      <c r="E830" s="21" t="s">
        <v>49</v>
      </c>
      <c r="F830" s="91">
        <f>FV(F827,F828,,-F826)</f>
        <v>5536.6666666666661</v>
      </c>
      <c r="G830" s="44"/>
    </row>
    <row r="863" spans="18:21">
      <c r="R863" s="52"/>
      <c r="S863" s="330"/>
      <c r="T863" s="330"/>
      <c r="U863" s="260"/>
    </row>
    <row r="864" spans="18:21">
      <c r="R864" s="147" t="s">
        <v>123</v>
      </c>
      <c r="S864" s="4" t="s">
        <v>124</v>
      </c>
      <c r="T864" s="274">
        <v>3300</v>
      </c>
      <c r="U864" s="5"/>
    </row>
    <row r="865" spans="4:21">
      <c r="R865" s="148" t="s">
        <v>32</v>
      </c>
      <c r="S865" s="4" t="s">
        <v>12</v>
      </c>
      <c r="T865" s="307">
        <f>5%/12</f>
        <v>4.1666666666666666E-3</v>
      </c>
      <c r="U865" s="5"/>
    </row>
    <row r="866" spans="4:21">
      <c r="D866" s="321" t="s">
        <v>69</v>
      </c>
      <c r="E866" s="322"/>
      <c r="F866" s="322"/>
      <c r="G866" s="322"/>
      <c r="H866" s="323"/>
      <c r="R866" s="262"/>
      <c r="S866" s="4" t="s">
        <v>13</v>
      </c>
      <c r="T866" s="5">
        <v>12</v>
      </c>
      <c r="U866" s="5"/>
    </row>
    <row r="867" spans="4:21">
      <c r="D867" s="126"/>
      <c r="E867" s="127"/>
      <c r="F867" s="128"/>
      <c r="G867" s="309"/>
      <c r="H867" s="121"/>
      <c r="R867" s="262"/>
      <c r="S867" s="4"/>
      <c r="T867" s="5"/>
      <c r="U867" s="5"/>
    </row>
    <row r="868" spans="4:21">
      <c r="D868" s="107" t="s">
        <v>33</v>
      </c>
      <c r="E868" s="21" t="s">
        <v>70</v>
      </c>
      <c r="F868" s="118">
        <v>3300</v>
      </c>
      <c r="G868" s="309"/>
      <c r="H868" s="122"/>
      <c r="R868" s="148"/>
      <c r="S868" s="50" t="s">
        <v>49</v>
      </c>
      <c r="T868" s="273">
        <f>FV(T865,T866,-T864)</f>
        <v>40520.223122332871</v>
      </c>
      <c r="U868" s="273">
        <f>T864*(((1+T865)^T866-1)/T865)</f>
        <v>40520.223122332871</v>
      </c>
    </row>
    <row r="869" spans="4:21">
      <c r="D869" s="107" t="s">
        <v>32</v>
      </c>
      <c r="E869" s="34" t="s">
        <v>12</v>
      </c>
      <c r="F869" s="37">
        <f>5%/12</f>
        <v>4.1666666666666666E-3</v>
      </c>
      <c r="G869" s="42"/>
      <c r="H869" s="123"/>
    </row>
    <row r="870" spans="4:21">
      <c r="D870" s="124"/>
      <c r="E870" s="119" t="s">
        <v>13</v>
      </c>
      <c r="F870" s="108">
        <f>1</f>
        <v>1</v>
      </c>
      <c r="G870" s="319" t="s">
        <v>147</v>
      </c>
      <c r="H870" s="320"/>
    </row>
    <row r="871" spans="4:21">
      <c r="D871" s="125"/>
      <c r="E871" s="22"/>
      <c r="F871" s="90"/>
      <c r="G871" s="43"/>
      <c r="H871" s="123"/>
      <c r="R871" s="313"/>
      <c r="S871" s="314"/>
      <c r="T871" s="315"/>
    </row>
    <row r="872" spans="4:21">
      <c r="D872" s="39"/>
      <c r="E872" s="22" t="s">
        <v>49</v>
      </c>
      <c r="F872" s="129">
        <f>F868/((1+F869)^F870)</f>
        <v>3286.3070539419086</v>
      </c>
      <c r="G872" s="117">
        <f>PV(F869,F870,,-F868)</f>
        <v>3286.3070539419086</v>
      </c>
      <c r="H872" s="103"/>
      <c r="R872" s="276"/>
      <c r="S872" s="43"/>
      <c r="T872" s="44"/>
    </row>
    <row r="873" spans="4:21">
      <c r="R873" s="86" t="s">
        <v>11</v>
      </c>
      <c r="S873" s="274">
        <v>3300</v>
      </c>
      <c r="T873" s="85"/>
    </row>
    <row r="874" spans="4:21">
      <c r="F874" s="313"/>
      <c r="G874" s="314"/>
      <c r="H874" s="315"/>
      <c r="R874" s="34" t="s">
        <v>12</v>
      </c>
      <c r="S874" s="307">
        <f>5%/12</f>
        <v>4.1666666666666666E-3</v>
      </c>
      <c r="T874" s="88">
        <v>0.08</v>
      </c>
    </row>
    <row r="875" spans="4:21">
      <c r="F875" s="276"/>
      <c r="G875" s="43"/>
      <c r="H875" s="44"/>
      <c r="R875" s="92" t="s">
        <v>13</v>
      </c>
      <c r="S875" s="90">
        <f>1</f>
        <v>1</v>
      </c>
      <c r="T875" s="201"/>
    </row>
    <row r="876" spans="4:21">
      <c r="F876" s="86" t="s">
        <v>11</v>
      </c>
      <c r="G876" s="89">
        <v>3300</v>
      </c>
      <c r="H876" s="85"/>
      <c r="R876" s="42"/>
      <c r="S876" s="44"/>
      <c r="T876" s="201"/>
    </row>
    <row r="877" spans="4:21">
      <c r="F877" s="34" t="s">
        <v>12</v>
      </c>
      <c r="G877" s="308">
        <f>5%/1</f>
        <v>0.05</v>
      </c>
      <c r="H877" s="88">
        <v>0.08</v>
      </c>
      <c r="R877" s="21" t="s">
        <v>49</v>
      </c>
      <c r="S877" s="91">
        <f>FV(S874,S875,,-S873)</f>
        <v>3313.75</v>
      </c>
      <c r="T877" s="44"/>
    </row>
    <row r="878" spans="4:21">
      <c r="F878" s="92" t="s">
        <v>13</v>
      </c>
      <c r="G878" s="90">
        <f>12</f>
        <v>12</v>
      </c>
      <c r="H878" s="201"/>
    </row>
    <row r="879" spans="4:21">
      <c r="F879" s="42"/>
      <c r="G879" s="44"/>
      <c r="H879" s="201"/>
    </row>
    <row r="880" spans="4:21">
      <c r="F880" s="21" t="s">
        <v>49</v>
      </c>
      <c r="G880" s="91">
        <f>FV(G877,G878,,-G876)</f>
        <v>5926.3258758730262</v>
      </c>
      <c r="H880" s="44"/>
    </row>
    <row r="914" spans="4:8">
      <c r="D914" s="52"/>
      <c r="E914" s="330"/>
      <c r="F914" s="330"/>
    </row>
    <row r="916" spans="4:8">
      <c r="D916" s="321"/>
      <c r="E916" s="322"/>
      <c r="F916" s="322"/>
      <c r="G916" s="322"/>
      <c r="H916" s="323"/>
    </row>
    <row r="917" spans="4:8">
      <c r="D917" s="126"/>
      <c r="E917" s="127"/>
      <c r="F917" s="128"/>
      <c r="G917" s="309"/>
      <c r="H917" s="121"/>
    </row>
    <row r="918" spans="4:8">
      <c r="D918" s="107" t="s">
        <v>33</v>
      </c>
      <c r="E918" s="21" t="s">
        <v>70</v>
      </c>
      <c r="F918" s="118">
        <v>2800</v>
      </c>
      <c r="G918" s="309"/>
      <c r="H918" s="122"/>
    </row>
    <row r="919" spans="4:8">
      <c r="D919" s="107" t="s">
        <v>32</v>
      </c>
      <c r="E919" s="34" t="s">
        <v>12</v>
      </c>
      <c r="F919" s="37">
        <f>4%/12</f>
        <v>3.3333333333333335E-3</v>
      </c>
      <c r="G919" s="42"/>
      <c r="H919" s="123"/>
    </row>
    <row r="920" spans="4:8">
      <c r="D920" s="124"/>
      <c r="E920" s="119" t="s">
        <v>13</v>
      </c>
      <c r="F920" s="108">
        <f>24</f>
        <v>24</v>
      </c>
      <c r="G920" s="319" t="s">
        <v>147</v>
      </c>
      <c r="H920" s="320"/>
    </row>
    <row r="921" spans="4:8">
      <c r="D921" s="125"/>
      <c r="E921" s="22"/>
      <c r="F921" s="90"/>
      <c r="G921" s="43"/>
      <c r="H921" s="123"/>
    </row>
    <row r="922" spans="4:8">
      <c r="D922" s="39"/>
      <c r="E922" s="22" t="s">
        <v>49</v>
      </c>
      <c r="F922" s="129">
        <f>F918/((1+F919)^F920)</f>
        <v>2585.0696589246827</v>
      </c>
      <c r="G922" s="117">
        <f>PV(F919,F920,,-F918)</f>
        <v>2585.0696589246827</v>
      </c>
      <c r="H922" s="103"/>
    </row>
    <row r="926" spans="4:8">
      <c r="F926" s="313"/>
      <c r="G926" s="314"/>
      <c r="H926" s="315"/>
    </row>
    <row r="927" spans="4:8">
      <c r="F927" s="276"/>
      <c r="G927" s="43"/>
      <c r="H927" s="44"/>
    </row>
    <row r="928" spans="4:8">
      <c r="F928" s="86" t="s">
        <v>11</v>
      </c>
      <c r="G928" s="89">
        <v>2800</v>
      </c>
      <c r="H928" s="85"/>
    </row>
    <row r="929" spans="6:8">
      <c r="F929" s="34" t="s">
        <v>12</v>
      </c>
      <c r="G929" s="308">
        <f>4%/1</f>
        <v>0.04</v>
      </c>
      <c r="H929" s="88">
        <v>0.08</v>
      </c>
    </row>
    <row r="930" spans="6:8">
      <c r="F930" s="92" t="s">
        <v>13</v>
      </c>
      <c r="G930" s="90">
        <f>24</f>
        <v>24</v>
      </c>
      <c r="H930" s="201"/>
    </row>
    <row r="931" spans="6:8">
      <c r="F931" s="42"/>
      <c r="G931" s="44"/>
      <c r="H931" s="201"/>
    </row>
    <row r="932" spans="6:8">
      <c r="F932" s="21" t="s">
        <v>49</v>
      </c>
      <c r="G932" s="91">
        <f>FV(G929,G930,,-G928)</f>
        <v>7177.2516616969078</v>
      </c>
      <c r="H932" s="44"/>
    </row>
  </sheetData>
  <mergeCells count="62">
    <mergeCell ref="C667:E667"/>
    <mergeCell ref="C727:E727"/>
    <mergeCell ref="C729:E729"/>
    <mergeCell ref="C731:E731"/>
    <mergeCell ref="C587:E587"/>
    <mergeCell ref="C589:E589"/>
    <mergeCell ref="C591:E591"/>
    <mergeCell ref="C663:E663"/>
    <mergeCell ref="C665:E665"/>
    <mergeCell ref="D522:F522"/>
    <mergeCell ref="D531:E531"/>
    <mergeCell ref="D532:E532"/>
    <mergeCell ref="D533:E534"/>
    <mergeCell ref="G533:G534"/>
    <mergeCell ref="D470:F470"/>
    <mergeCell ref="D479:E479"/>
    <mergeCell ref="D480:E480"/>
    <mergeCell ref="D481:E482"/>
    <mergeCell ref="G481:G482"/>
    <mergeCell ref="B26:G26"/>
    <mergeCell ref="C31:D31"/>
    <mergeCell ref="B61:G61"/>
    <mergeCell ref="C66:D66"/>
    <mergeCell ref="B212:D212"/>
    <mergeCell ref="F212:H212"/>
    <mergeCell ref="B129:G129"/>
    <mergeCell ref="C134:D134"/>
    <mergeCell ref="B173:G173"/>
    <mergeCell ref="C178:D178"/>
    <mergeCell ref="C94:D94"/>
    <mergeCell ref="B221:D221"/>
    <mergeCell ref="F221:H221"/>
    <mergeCell ref="B273:D273"/>
    <mergeCell ref="F273:H273"/>
    <mergeCell ref="B282:D282"/>
    <mergeCell ref="F282:H282"/>
    <mergeCell ref="B325:D325"/>
    <mergeCell ref="F325:H325"/>
    <mergeCell ref="B334:D334"/>
    <mergeCell ref="F334:H334"/>
    <mergeCell ref="B372:D372"/>
    <mergeCell ref="F372:H372"/>
    <mergeCell ref="C432:D433"/>
    <mergeCell ref="F432:F433"/>
    <mergeCell ref="B381:D381"/>
    <mergeCell ref="F381:H381"/>
    <mergeCell ref="C421:E421"/>
    <mergeCell ref="C430:D430"/>
    <mergeCell ref="C431:D431"/>
    <mergeCell ref="R871:T871"/>
    <mergeCell ref="D866:H866"/>
    <mergeCell ref="G870:H870"/>
    <mergeCell ref="D763:H763"/>
    <mergeCell ref="G769:H769"/>
    <mergeCell ref="E817:F817"/>
    <mergeCell ref="E824:G824"/>
    <mergeCell ref="S863:T863"/>
    <mergeCell ref="D916:H916"/>
    <mergeCell ref="G920:H920"/>
    <mergeCell ref="F874:H874"/>
    <mergeCell ref="F926:H926"/>
    <mergeCell ref="E914:F914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4DF4A-99FC-4D2C-A5BC-979C341F4478}">
  <dimension ref="D34:H48"/>
  <sheetViews>
    <sheetView topLeftCell="A4" zoomScale="70" zoomScaleNormal="70" workbookViewId="0">
      <selection activeCell="F37" sqref="F37"/>
    </sheetView>
  </sheetViews>
  <sheetFormatPr baseColWidth="10" defaultRowHeight="14.4"/>
  <cols>
    <col min="6" max="6" width="26.6640625" customWidth="1"/>
    <col min="7" max="7" width="20.5546875" customWidth="1"/>
    <col min="8" max="8" width="23.77734375" customWidth="1"/>
  </cols>
  <sheetData>
    <row r="34" spans="4:8">
      <c r="D34" s="321" t="s">
        <v>69</v>
      </c>
      <c r="E34" s="322"/>
      <c r="F34" s="322"/>
      <c r="G34" s="322"/>
      <c r="H34" s="323"/>
    </row>
    <row r="35" spans="4:8">
      <c r="D35" s="126"/>
      <c r="E35" s="127"/>
      <c r="F35" s="128"/>
      <c r="G35" s="309"/>
      <c r="H35" s="121"/>
    </row>
    <row r="36" spans="4:8">
      <c r="D36" s="107" t="s">
        <v>33</v>
      </c>
      <c r="E36" s="21" t="s">
        <v>70</v>
      </c>
      <c r="F36" s="118">
        <v>150000</v>
      </c>
      <c r="G36" s="309"/>
      <c r="H36" s="122"/>
    </row>
    <row r="37" spans="4:8">
      <c r="D37" s="107" t="s">
        <v>32</v>
      </c>
      <c r="E37" s="34" t="s">
        <v>12</v>
      </c>
      <c r="F37" s="37">
        <f>20%/2</f>
        <v>0.1</v>
      </c>
      <c r="G37" s="42"/>
      <c r="H37" s="123"/>
    </row>
    <row r="38" spans="4:8">
      <c r="D38" s="124"/>
      <c r="E38" s="119" t="s">
        <v>13</v>
      </c>
      <c r="F38" s="108">
        <f>15/2</f>
        <v>7.5</v>
      </c>
      <c r="G38" s="319" t="s">
        <v>71</v>
      </c>
      <c r="H38" s="320"/>
    </row>
    <row r="39" spans="4:8">
      <c r="D39" s="125"/>
      <c r="E39" s="22"/>
      <c r="F39" s="90"/>
      <c r="G39" s="43"/>
      <c r="H39" s="123"/>
    </row>
    <row r="40" spans="4:8">
      <c r="D40" s="39"/>
      <c r="E40" s="22" t="s">
        <v>49</v>
      </c>
      <c r="F40" s="129">
        <f>F36/((1+F37)^F38)</f>
        <v>73391.560215096775</v>
      </c>
      <c r="G40" s="117">
        <f>PV(F37,F38,,-F36)</f>
        <v>73391.560215096775</v>
      </c>
      <c r="H40" s="103"/>
    </row>
    <row r="42" spans="4:8">
      <c r="E42" s="313"/>
      <c r="F42" s="314"/>
      <c r="G42" s="315"/>
    </row>
    <row r="43" spans="4:8">
      <c r="E43" s="276"/>
      <c r="F43" s="43"/>
      <c r="G43" s="44"/>
    </row>
    <row r="44" spans="4:8">
      <c r="E44" s="86" t="s">
        <v>11</v>
      </c>
      <c r="F44" s="89">
        <v>2800</v>
      </c>
      <c r="G44" s="85"/>
    </row>
    <row r="45" spans="4:8">
      <c r="E45" s="34" t="s">
        <v>12</v>
      </c>
      <c r="F45" s="308">
        <f>4%/1</f>
        <v>0.04</v>
      </c>
      <c r="G45" s="88">
        <v>0.08</v>
      </c>
    </row>
    <row r="46" spans="4:8">
      <c r="E46" s="92" t="s">
        <v>13</v>
      </c>
      <c r="F46" s="90">
        <f>24</f>
        <v>24</v>
      </c>
      <c r="G46" s="201"/>
    </row>
    <row r="47" spans="4:8">
      <c r="E47" s="42"/>
      <c r="F47" s="44"/>
      <c r="G47" s="201"/>
    </row>
    <row r="48" spans="4:8">
      <c r="E48" s="21" t="s">
        <v>49</v>
      </c>
      <c r="F48" s="91">
        <f>FV(F45,F46,,-F44)</f>
        <v>7177.2516616969078</v>
      </c>
      <c r="G48" s="44"/>
    </row>
  </sheetData>
  <mergeCells count="3">
    <mergeCell ref="D34:H34"/>
    <mergeCell ref="G38:H38"/>
    <mergeCell ref="E42:G4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D2" sqref="D2:F2"/>
    </sheetView>
  </sheetViews>
  <sheetFormatPr baseColWidth="10" defaultRowHeight="14.4"/>
  <sheetData>
    <row r="2" spans="4:6">
      <c r="D2" s="316" t="s">
        <v>23</v>
      </c>
      <c r="E2" s="316"/>
      <c r="F2" s="316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/>
  <sheetData>
    <row r="2" spans="1:10">
      <c r="B2" s="316" t="s">
        <v>0</v>
      </c>
      <c r="C2" s="316"/>
      <c r="D2" s="316"/>
      <c r="G2" s="316"/>
      <c r="H2" s="316"/>
      <c r="I2" s="316"/>
      <c r="J2" s="316"/>
    </row>
    <row r="4" spans="1:10">
      <c r="B4" t="s">
        <v>24</v>
      </c>
    </row>
    <row r="6" spans="1:10">
      <c r="B6" t="s">
        <v>25</v>
      </c>
    </row>
    <row r="7" spans="1:10">
      <c r="E7" t="s">
        <v>30</v>
      </c>
    </row>
    <row r="8" spans="1:10">
      <c r="B8" t="s">
        <v>26</v>
      </c>
      <c r="E8" t="s">
        <v>29</v>
      </c>
    </row>
    <row r="10" spans="1:10">
      <c r="B10" t="s">
        <v>27</v>
      </c>
      <c r="E10" t="s">
        <v>28</v>
      </c>
    </row>
    <row r="11" spans="1:10">
      <c r="A11">
        <v>0</v>
      </c>
      <c r="B11">
        <v>100000</v>
      </c>
      <c r="E11">
        <v>100000</v>
      </c>
    </row>
    <row r="12" spans="1:10">
      <c r="A12">
        <v>1</v>
      </c>
      <c r="B12">
        <v>120000</v>
      </c>
      <c r="E12">
        <v>120000</v>
      </c>
    </row>
    <row r="13" spans="1:10">
      <c r="A13">
        <v>2</v>
      </c>
      <c r="B13">
        <v>140000</v>
      </c>
      <c r="E13">
        <v>144000</v>
      </c>
    </row>
    <row r="14" spans="1:10">
      <c r="A14">
        <v>3</v>
      </c>
      <c r="B14">
        <v>160000</v>
      </c>
      <c r="E14">
        <v>172800</v>
      </c>
    </row>
    <row r="15" spans="1:10">
      <c r="A15">
        <v>4</v>
      </c>
      <c r="B15">
        <v>180000</v>
      </c>
      <c r="E15">
        <v>207360</v>
      </c>
    </row>
    <row r="16" spans="1:10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D11" sqref="D11:F11"/>
    </sheetView>
  </sheetViews>
  <sheetFormatPr baseColWidth="10" defaultRowHeight="14.4"/>
  <cols>
    <col min="4" max="4" width="12.77734375" bestFit="1" customWidth="1"/>
    <col min="5" max="5" width="15.88671875" customWidth="1"/>
    <col min="6" max="6" width="12.77734375" bestFit="1" customWidth="1"/>
  </cols>
  <sheetData>
    <row r="2" spans="2:6">
      <c r="C2" s="316" t="s">
        <v>31</v>
      </c>
      <c r="D2" s="316"/>
    </row>
    <row r="4" spans="2:6">
      <c r="B4" s="50" t="s">
        <v>9</v>
      </c>
      <c r="C4" t="s">
        <v>11</v>
      </c>
      <c r="D4" s="48">
        <v>100000</v>
      </c>
    </row>
    <row r="5" spans="2:6">
      <c r="B5" s="51" t="s">
        <v>32</v>
      </c>
      <c r="C5" t="s">
        <v>12</v>
      </c>
      <c r="D5" s="49">
        <v>0.2</v>
      </c>
    </row>
    <row r="6" spans="2:6">
      <c r="C6" s="50" t="s">
        <v>13</v>
      </c>
      <c r="D6" s="50">
        <v>5</v>
      </c>
    </row>
    <row r="7" spans="2:6">
      <c r="F7" t="s">
        <v>34</v>
      </c>
    </row>
    <row r="8" spans="2:6">
      <c r="C8" s="52" t="s">
        <v>33</v>
      </c>
      <c r="D8" s="53">
        <f>FV(D5,D6,,-D4)</f>
        <v>248832</v>
      </c>
      <c r="F8" s="55">
        <f>D4*(1+(D5*D6))</f>
        <v>200000</v>
      </c>
    </row>
    <row r="11" spans="2:6">
      <c r="D11" t="s">
        <v>35</v>
      </c>
      <c r="E11" t="s">
        <v>21</v>
      </c>
      <c r="F11" t="s">
        <v>36</v>
      </c>
    </row>
    <row r="12" spans="2:6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>
      <c r="C17" s="316" t="s">
        <v>19</v>
      </c>
      <c r="D17" s="316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/>
  <sheetData>
    <row r="2" spans="3:6">
      <c r="D2" s="316" t="s">
        <v>37</v>
      </c>
      <c r="E2" s="316"/>
      <c r="F2" s="316"/>
    </row>
    <row r="4" spans="3:6">
      <c r="D4" t="s">
        <v>38</v>
      </c>
    </row>
    <row r="5" spans="3:6">
      <c r="D5" t="s">
        <v>39</v>
      </c>
    </row>
    <row r="6" spans="3:6">
      <c r="D6" t="s">
        <v>40</v>
      </c>
    </row>
    <row r="8" spans="3:6">
      <c r="C8" t="s">
        <v>41</v>
      </c>
      <c r="D8">
        <v>500</v>
      </c>
      <c r="E8" t="s">
        <v>42</v>
      </c>
    </row>
    <row r="9" spans="3:6">
      <c r="D9">
        <v>500</v>
      </c>
      <c r="E9" t="s">
        <v>43</v>
      </c>
    </row>
    <row r="10" spans="3:6">
      <c r="D10">
        <v>500</v>
      </c>
      <c r="E10">
        <v>1.4295020000000001</v>
      </c>
    </row>
    <row r="11" spans="3:6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C19" sqref="C19"/>
    </sheetView>
  </sheetViews>
  <sheetFormatPr baseColWidth="10" defaultRowHeight="14.4"/>
  <cols>
    <col min="4" max="4" width="12.6640625" bestFit="1" customWidth="1"/>
  </cols>
  <sheetData>
    <row r="1" spans="3:5">
      <c r="C1" s="317" t="s">
        <v>46</v>
      </c>
      <c r="D1" s="312"/>
      <c r="E1" s="318"/>
    </row>
    <row r="2" spans="3:5">
      <c r="C2" s="82"/>
      <c r="D2" s="83"/>
      <c r="E2" s="84"/>
    </row>
    <row r="3" spans="3:5">
      <c r="C3" s="64" t="s">
        <v>11</v>
      </c>
      <c r="D3" s="65">
        <v>500</v>
      </c>
      <c r="E3" s="69"/>
    </row>
    <row r="4" spans="3:5">
      <c r="C4" s="67" t="s">
        <v>12</v>
      </c>
      <c r="D4" s="68">
        <f>18%/12</f>
        <v>1.4999999999999999E-2</v>
      </c>
      <c r="E4" s="56">
        <v>0.18</v>
      </c>
    </row>
    <row r="5" spans="3:5">
      <c r="C5" s="8" t="s">
        <v>13</v>
      </c>
      <c r="D5" s="66">
        <f>2*(12)</f>
        <v>24</v>
      </c>
      <c r="E5" s="57"/>
    </row>
    <row r="6" spans="3:5">
      <c r="C6" s="70"/>
      <c r="D6" s="71"/>
      <c r="E6" s="72"/>
    </row>
    <row r="7" spans="3:5">
      <c r="C7" s="73"/>
      <c r="D7" s="74"/>
      <c r="E7" s="75"/>
    </row>
    <row r="8" spans="3:5">
      <c r="C8" s="8" t="s">
        <v>47</v>
      </c>
      <c r="D8" s="10">
        <f>FV(D4,D5,,-D3)</f>
        <v>714.75140596451013</v>
      </c>
      <c r="E8" s="57"/>
    </row>
    <row r="10" spans="3:5">
      <c r="C10" s="317" t="s">
        <v>48</v>
      </c>
      <c r="D10" s="312"/>
      <c r="E10" s="318"/>
    </row>
    <row r="11" spans="3:5">
      <c r="C11" s="79"/>
      <c r="D11" s="80"/>
      <c r="E11" s="81"/>
    </row>
    <row r="12" spans="3:5">
      <c r="C12" s="60" t="s">
        <v>11</v>
      </c>
      <c r="D12" s="61">
        <v>500</v>
      </c>
      <c r="E12" s="5"/>
    </row>
    <row r="13" spans="3:5">
      <c r="C13" s="59" t="s">
        <v>12</v>
      </c>
      <c r="D13" s="62">
        <f>18%/12</f>
        <v>1.4999999999999999E-2</v>
      </c>
      <c r="E13" s="63">
        <v>0.18</v>
      </c>
    </row>
    <row r="14" spans="3:5">
      <c r="C14" s="34" t="s">
        <v>13</v>
      </c>
      <c r="D14" s="37">
        <f>2*(12)</f>
        <v>24</v>
      </c>
      <c r="E14" s="57"/>
    </row>
    <row r="15" spans="3:5">
      <c r="C15" s="76"/>
      <c r="D15" s="77"/>
      <c r="E15" s="78"/>
    </row>
    <row r="16" spans="3:5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D21" sqref="D21"/>
    </sheetView>
  </sheetViews>
  <sheetFormatPr baseColWidth="10" defaultRowHeight="14.4"/>
  <cols>
    <col min="3" max="3" width="19.33203125" customWidth="1"/>
    <col min="4" max="4" width="14.6640625" customWidth="1"/>
  </cols>
  <sheetData>
    <row r="2" spans="2:4">
      <c r="B2" s="313" t="s">
        <v>50</v>
      </c>
      <c r="C2" s="314"/>
      <c r="D2" s="315"/>
    </row>
    <row r="3" spans="2:4">
      <c r="B3" s="97"/>
      <c r="C3" s="98"/>
      <c r="D3" s="99"/>
    </row>
    <row r="4" spans="2:4">
      <c r="B4" s="86" t="s">
        <v>11</v>
      </c>
      <c r="C4" s="89">
        <v>15000</v>
      </c>
      <c r="D4" s="85"/>
    </row>
    <row r="5" spans="2:4">
      <c r="B5" s="34" t="s">
        <v>12</v>
      </c>
      <c r="C5" s="37">
        <f>12%/4</f>
        <v>0.03</v>
      </c>
      <c r="D5" s="88">
        <v>0.12</v>
      </c>
    </row>
    <row r="6" spans="2:4">
      <c r="B6" s="92" t="s">
        <v>13</v>
      </c>
      <c r="C6" s="90">
        <f>1*4</f>
        <v>4</v>
      </c>
      <c r="D6" s="100"/>
    </row>
    <row r="7" spans="2:4">
      <c r="B7" s="101"/>
      <c r="C7" s="99"/>
      <c r="D7" s="100"/>
    </row>
    <row r="8" spans="2:4">
      <c r="B8" s="21" t="s">
        <v>49</v>
      </c>
      <c r="C8" s="91">
        <f>FV(C5,C6,,-C4)</f>
        <v>16882.632149999998</v>
      </c>
      <c r="D8" s="99"/>
    </row>
    <row r="11" spans="2:4">
      <c r="B11" s="313" t="s">
        <v>51</v>
      </c>
      <c r="C11" s="314"/>
      <c r="D11" s="315"/>
    </row>
    <row r="12" spans="2:4">
      <c r="B12" s="95"/>
      <c r="C12" s="96"/>
      <c r="D12" s="94"/>
    </row>
    <row r="13" spans="2:4">
      <c r="B13" s="21" t="s">
        <v>11</v>
      </c>
      <c r="C13" s="89">
        <v>50000</v>
      </c>
      <c r="D13" s="85"/>
    </row>
    <row r="14" spans="2:4">
      <c r="B14" s="34" t="s">
        <v>12</v>
      </c>
      <c r="C14" s="90">
        <f>D14/2</f>
        <v>0.1</v>
      </c>
      <c r="D14" s="88">
        <v>0.2</v>
      </c>
    </row>
    <row r="15" spans="2:4">
      <c r="B15" s="87" t="s">
        <v>13</v>
      </c>
      <c r="C15" s="37">
        <f>2*2</f>
        <v>4</v>
      </c>
      <c r="D15" s="93"/>
    </row>
    <row r="16" spans="2:4">
      <c r="B16" s="95"/>
      <c r="C16" s="94"/>
      <c r="D16" s="93"/>
    </row>
    <row r="17" spans="2:4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C30" sqref="C30"/>
    </sheetView>
  </sheetViews>
  <sheetFormatPr baseColWidth="10" defaultRowHeight="14.4"/>
  <sheetData>
    <row r="1" spans="3:6">
      <c r="D1" s="316" t="s">
        <v>52</v>
      </c>
      <c r="E1" s="316"/>
      <c r="F1" s="316"/>
    </row>
    <row r="3" spans="3:6">
      <c r="C3" t="s">
        <v>53</v>
      </c>
      <c r="D3">
        <f xml:space="preserve"> 0.03</f>
        <v>0.03</v>
      </c>
    </row>
    <row r="5" spans="3:6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29</vt:i4>
      </vt:variant>
    </vt:vector>
  </HeadingPairs>
  <TitlesOfParts>
    <vt:vector size="29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EJERCICIO ACUMULATIVO 3</vt:lpstr>
      <vt:lpstr>EJERCICIOS DE REPASO 03-08 NOV</vt:lpstr>
      <vt:lpstr>Practica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2022-11-11T15:51:16Z</dcterms:modified>
</cp:coreProperties>
</file>